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60" windowWidth="20490" windowHeight="7575" firstSheet="5" activeTab="7"/>
  </bookViews>
  <sheets>
    <sheet name="Diễn giải kl" sheetId="4" state="hidden" r:id="rId1"/>
    <sheet name="Thép Kết cấu" sheetId="1" state="hidden" r:id="rId2"/>
    <sheet name="Thép xd" sheetId="6" state="hidden" r:id="rId3"/>
    <sheet name="Sheet1" sheetId="7" state="hidden" r:id="rId4"/>
    <sheet name="Sheet2" sheetId="8" state="hidden" r:id="rId5"/>
    <sheet name="PA. Lát sàn" sheetId="9" r:id="rId6"/>
    <sheet name="PA. Láng nền" sheetId="10" state="hidden" r:id="rId7"/>
    <sheet name="Quyết toán" sheetId="11" r:id="rId8"/>
  </sheets>
  <calcPr calcId="144525"/>
</workbook>
</file>

<file path=xl/calcChain.xml><?xml version="1.0" encoding="utf-8"?>
<calcChain xmlns="http://schemas.openxmlformats.org/spreadsheetml/2006/main">
  <c r="K34" i="11" l="1"/>
  <c r="K32" i="11"/>
  <c r="K33" i="11"/>
  <c r="A28" i="11"/>
  <c r="A29" i="11" s="1"/>
  <c r="A30" i="11" s="1"/>
  <c r="A31" i="11" s="1"/>
  <c r="J30" i="11"/>
  <c r="G30" i="11"/>
  <c r="E30" i="11"/>
  <c r="I30" i="11" s="1"/>
  <c r="K29" i="11"/>
  <c r="E27" i="11"/>
  <c r="K27" i="11" s="1"/>
  <c r="E20" i="11"/>
  <c r="E19" i="11"/>
  <c r="E16" i="11" s="1"/>
  <c r="I16" i="11" s="1"/>
  <c r="E17" i="11"/>
  <c r="E18" i="11"/>
  <c r="J25" i="11"/>
  <c r="I25" i="11"/>
  <c r="K25" i="11" s="1"/>
  <c r="J24" i="11"/>
  <c r="I24" i="11"/>
  <c r="G24" i="11"/>
  <c r="J23" i="11"/>
  <c r="J22" i="11"/>
  <c r="J21" i="11"/>
  <c r="I21" i="11"/>
  <c r="G21" i="11"/>
  <c r="J16" i="11"/>
  <c r="J15" i="11"/>
  <c r="I15" i="11"/>
  <c r="G15" i="11"/>
  <c r="J14" i="11"/>
  <c r="J28" i="11" s="1"/>
  <c r="J13" i="11"/>
  <c r="F12" i="11"/>
  <c r="J12" i="11" s="1"/>
  <c r="J11" i="11"/>
  <c r="J10" i="11"/>
  <c r="E9" i="11"/>
  <c r="E10" i="11" s="1"/>
  <c r="J8" i="11"/>
  <c r="J7" i="11"/>
  <c r="E7" i="11"/>
  <c r="E13" i="11" s="1"/>
  <c r="A7" i="11"/>
  <c r="A8" i="11" s="1"/>
  <c r="A10" i="11" s="1"/>
  <c r="A11" i="11" s="1"/>
  <c r="A12" i="11" s="1"/>
  <c r="A13" i="11" s="1"/>
  <c r="A14" i="11" s="1"/>
  <c r="K6" i="11"/>
  <c r="E6" i="11"/>
  <c r="E5" i="11" s="1"/>
  <c r="J5" i="11"/>
  <c r="E8" i="11" l="1"/>
  <c r="I8" i="11" s="1"/>
  <c r="K30" i="11"/>
  <c r="K24" i="11"/>
  <c r="I7" i="11"/>
  <c r="K7" i="11" s="1"/>
  <c r="G13" i="11"/>
  <c r="I13" i="11"/>
  <c r="E22" i="11"/>
  <c r="E28" i="11" s="1"/>
  <c r="K28" i="11" s="1"/>
  <c r="K26" i="11" s="1"/>
  <c r="G5" i="11"/>
  <c r="I5" i="11"/>
  <c r="E12" i="11"/>
  <c r="I12" i="11" s="1"/>
  <c r="G10" i="11"/>
  <c r="I10" i="11"/>
  <c r="E11" i="11"/>
  <c r="E23" i="11"/>
  <c r="E14" i="11"/>
  <c r="G16" i="11"/>
  <c r="K16" i="11" s="1"/>
  <c r="K15" i="11" s="1"/>
  <c r="F12" i="9"/>
  <c r="J12" i="9" s="1"/>
  <c r="F12" i="10"/>
  <c r="G8" i="11" l="1"/>
  <c r="K8" i="11" s="1"/>
  <c r="K5" i="11"/>
  <c r="K13" i="11"/>
  <c r="K10" i="11"/>
  <c r="I11" i="11"/>
  <c r="G11" i="11"/>
  <c r="I14" i="11"/>
  <c r="G14" i="11"/>
  <c r="G23" i="11"/>
  <c r="I23" i="11"/>
  <c r="G22" i="11"/>
  <c r="I22" i="11"/>
  <c r="G12" i="11"/>
  <c r="K12" i="11" s="1"/>
  <c r="J13" i="9"/>
  <c r="K22" i="11" l="1"/>
  <c r="K23" i="11"/>
  <c r="K11" i="11"/>
  <c r="K14" i="11"/>
  <c r="J20" i="10"/>
  <c r="I20" i="10"/>
  <c r="K20" i="10" s="1"/>
  <c r="J19" i="10"/>
  <c r="I19" i="10"/>
  <c r="G19" i="10"/>
  <c r="K19" i="10" s="1"/>
  <c r="J18" i="10"/>
  <c r="J17" i="10"/>
  <c r="I17" i="10"/>
  <c r="G17" i="10"/>
  <c r="J16" i="10"/>
  <c r="E16" i="10"/>
  <c r="I16" i="10" s="1"/>
  <c r="J15" i="10"/>
  <c r="I15" i="10"/>
  <c r="G15" i="10"/>
  <c r="J14" i="10"/>
  <c r="J13" i="10"/>
  <c r="J12" i="10"/>
  <c r="J11" i="10"/>
  <c r="J10" i="10"/>
  <c r="E9" i="10"/>
  <c r="E10" i="10" s="1"/>
  <c r="E12" i="10" s="1"/>
  <c r="J8" i="10"/>
  <c r="J7" i="10"/>
  <c r="E7" i="10"/>
  <c r="E13" i="10" s="1"/>
  <c r="A7" i="10"/>
  <c r="A8" i="10" s="1"/>
  <c r="A10" i="10" s="1"/>
  <c r="A11" i="10" s="1"/>
  <c r="A12" i="10" s="1"/>
  <c r="A13" i="10" s="1"/>
  <c r="A14" i="10" s="1"/>
  <c r="K6" i="10"/>
  <c r="E6" i="10"/>
  <c r="E5" i="10" s="1"/>
  <c r="E18" i="10" s="1"/>
  <c r="J5" i="10"/>
  <c r="K21" i="11" l="1"/>
  <c r="K4" i="11"/>
  <c r="I10" i="10"/>
  <c r="I12" i="10"/>
  <c r="E8" i="10"/>
  <c r="I8" i="10" s="1"/>
  <c r="E14" i="10"/>
  <c r="I14" i="10" s="1"/>
  <c r="G13" i="10"/>
  <c r="I13" i="10"/>
  <c r="K13" i="10" s="1"/>
  <c r="G18" i="10"/>
  <c r="I18" i="10"/>
  <c r="G5" i="10"/>
  <c r="I7" i="10"/>
  <c r="K7" i="10" s="1"/>
  <c r="I5" i="10"/>
  <c r="E11" i="10"/>
  <c r="G10" i="10"/>
  <c r="G14" i="10"/>
  <c r="K14" i="10" s="1"/>
  <c r="G16" i="10"/>
  <c r="K16" i="10" s="1"/>
  <c r="K15" i="10" s="1"/>
  <c r="E9" i="9"/>
  <c r="E8" i="9" s="1"/>
  <c r="A7" i="9"/>
  <c r="A8" i="9" s="1"/>
  <c r="A10" i="9" s="1"/>
  <c r="A11" i="9" s="1"/>
  <c r="A12" i="9" s="1"/>
  <c r="A13" i="9" s="1"/>
  <c r="A14" i="9" s="1"/>
  <c r="J21" i="9"/>
  <c r="I21" i="9"/>
  <c r="K21" i="9" s="1"/>
  <c r="J10" i="9"/>
  <c r="E16" i="9"/>
  <c r="G8" i="10" l="1"/>
  <c r="K8" i="10" s="1"/>
  <c r="K10" i="10"/>
  <c r="K5" i="10"/>
  <c r="G12" i="10"/>
  <c r="K12" i="10" s="1"/>
  <c r="K18" i="10"/>
  <c r="I11" i="10"/>
  <c r="G11" i="10"/>
  <c r="K17" i="10"/>
  <c r="J19" i="9"/>
  <c r="J20" i="9"/>
  <c r="I20" i="9"/>
  <c r="G20" i="9"/>
  <c r="J18" i="9"/>
  <c r="J11" i="9"/>
  <c r="J7" i="9"/>
  <c r="E7" i="9"/>
  <c r="E13" i="9" s="1"/>
  <c r="E10" i="9"/>
  <c r="E12" i="9" s="1"/>
  <c r="E6" i="9"/>
  <c r="E14" i="9" s="1"/>
  <c r="I12" i="9" l="1"/>
  <c r="G12" i="9"/>
  <c r="K12" i="9" s="1"/>
  <c r="I13" i="9"/>
  <c r="G13" i="9"/>
  <c r="K11" i="10"/>
  <c r="K4" i="10" s="1"/>
  <c r="K21" i="10" s="1"/>
  <c r="E19" i="9"/>
  <c r="G19" i="9" s="1"/>
  <c r="E5" i="9"/>
  <c r="G10" i="9"/>
  <c r="E11" i="9"/>
  <c r="G11" i="9" s="1"/>
  <c r="I10" i="9"/>
  <c r="K20" i="9"/>
  <c r="I8" i="9"/>
  <c r="I7" i="9"/>
  <c r="K7" i="9" s="1"/>
  <c r="J8" i="9"/>
  <c r="G16" i="9"/>
  <c r="J17" i="9"/>
  <c r="J16" i="9"/>
  <c r="J15" i="9"/>
  <c r="I15" i="9"/>
  <c r="I17" i="9"/>
  <c r="G17" i="9"/>
  <c r="G15" i="9"/>
  <c r="K6" i="9"/>
  <c r="J14" i="9"/>
  <c r="J5" i="9"/>
  <c r="K13" i="9" l="1"/>
  <c r="I19" i="9"/>
  <c r="K19" i="9" s="1"/>
  <c r="I11" i="9"/>
  <c r="K11" i="9" s="1"/>
  <c r="K10" i="9"/>
  <c r="G8" i="9"/>
  <c r="K8" i="9" s="1"/>
  <c r="I5" i="9"/>
  <c r="E18" i="9"/>
  <c r="I16" i="9"/>
  <c r="K16" i="9" s="1"/>
  <c r="G5" i="9"/>
  <c r="K5" i="9" l="1"/>
  <c r="I18" i="9"/>
  <c r="G18" i="9"/>
  <c r="K15" i="9"/>
  <c r="K18" i="9" l="1"/>
  <c r="K17" i="9" s="1"/>
  <c r="I14" i="9"/>
  <c r="G14" i="9"/>
  <c r="K14" i="9" l="1"/>
  <c r="K4" i="9" l="1"/>
  <c r="K22" i="9" s="1"/>
  <c r="I57" i="4" l="1"/>
  <c r="I19" i="1"/>
  <c r="I18" i="1"/>
  <c r="F55" i="4" l="1"/>
  <c r="I55" i="4" s="1"/>
  <c r="F54" i="4"/>
  <c r="F53" i="4"/>
  <c r="F52" i="4"/>
  <c r="G38" i="4" l="1"/>
  <c r="I38" i="4" s="1"/>
  <c r="E23" i="7" l="1"/>
  <c r="E22" i="7"/>
  <c r="E21" i="7"/>
  <c r="E11" i="7"/>
  <c r="E18" i="7"/>
  <c r="E17" i="7"/>
  <c r="E16" i="7"/>
  <c r="E13" i="7"/>
  <c r="E8" i="7"/>
  <c r="E9" i="7" l="1"/>
  <c r="E5" i="7" s="1"/>
  <c r="E20" i="7"/>
  <c r="E15" i="7"/>
  <c r="F30" i="4" l="1"/>
  <c r="I30" i="4" s="1"/>
  <c r="F19" i="1"/>
  <c r="E19" i="1"/>
  <c r="F18" i="1"/>
  <c r="J18" i="1" s="1"/>
  <c r="J16" i="1"/>
  <c r="J31" i="1"/>
  <c r="I26" i="4"/>
  <c r="F34" i="4"/>
  <c r="I34" i="4" s="1"/>
  <c r="F33" i="4"/>
  <c r="I33" i="4" s="1"/>
  <c r="F32" i="4"/>
  <c r="I32" i="4" s="1"/>
  <c r="F50" i="4"/>
  <c r="F49" i="4"/>
  <c r="F48" i="4"/>
  <c r="F47" i="4"/>
  <c r="J19" i="1" l="1"/>
  <c r="J17" i="1" s="1"/>
  <c r="I20" i="4" s="1"/>
  <c r="E17" i="6" l="1"/>
  <c r="E12" i="6"/>
  <c r="E7" i="6"/>
  <c r="K19" i="6"/>
  <c r="L19" i="6" s="1"/>
  <c r="E19" i="6"/>
  <c r="L18" i="6"/>
  <c r="M18" i="6" s="1"/>
  <c r="K17" i="6"/>
  <c r="L17" i="6" s="1"/>
  <c r="A17" i="6"/>
  <c r="A18" i="6" s="1"/>
  <c r="A19" i="6" s="1"/>
  <c r="L16" i="6"/>
  <c r="N16" i="6" s="1"/>
  <c r="P16" i="6" s="1"/>
  <c r="K14" i="6"/>
  <c r="L14" i="6" s="1"/>
  <c r="M14" i="6" s="1"/>
  <c r="E14" i="6"/>
  <c r="L13" i="6"/>
  <c r="M13" i="6" s="1"/>
  <c r="K12" i="6"/>
  <c r="L12" i="6" s="1"/>
  <c r="M12" i="6" s="1"/>
  <c r="A12" i="6"/>
  <c r="A13" i="6" s="1"/>
  <c r="A14" i="6" s="1"/>
  <c r="L11" i="6"/>
  <c r="M11" i="6" s="1"/>
  <c r="E9" i="6"/>
  <c r="K9" i="6"/>
  <c r="K7" i="6"/>
  <c r="I54" i="4"/>
  <c r="I53" i="4"/>
  <c r="N13" i="6" l="1"/>
  <c r="P13" i="6" s="1"/>
  <c r="M16" i="6"/>
  <c r="N18" i="6"/>
  <c r="P18" i="6" s="1"/>
  <c r="N11" i="6"/>
  <c r="P11" i="6" s="1"/>
  <c r="M19" i="6"/>
  <c r="N19" i="6"/>
  <c r="P19" i="6" s="1"/>
  <c r="M17" i="6"/>
  <c r="N17" i="6"/>
  <c r="P17" i="6" s="1"/>
  <c r="N12" i="6"/>
  <c r="P12" i="6" s="1"/>
  <c r="N14" i="6"/>
  <c r="P14" i="6" s="1"/>
  <c r="F35" i="4" l="1"/>
  <c r="I35" i="4" s="1"/>
  <c r="I39" i="4"/>
  <c r="I37" i="4"/>
  <c r="I36" i="4"/>
  <c r="I49" i="4" l="1"/>
  <c r="I48" i="4"/>
  <c r="I50" i="4"/>
  <c r="E44" i="4"/>
  <c r="I44" i="4" s="1"/>
  <c r="E42" i="4"/>
  <c r="I42" i="4" s="1"/>
  <c r="E43" i="4"/>
  <c r="I43" i="4" s="1"/>
  <c r="F31" i="4"/>
  <c r="F22" i="4"/>
  <c r="I22" i="4" s="1"/>
  <c r="I24" i="4"/>
  <c r="I25" i="4"/>
  <c r="E28" i="1"/>
  <c r="J28" i="1" s="1"/>
  <c r="J35" i="1"/>
  <c r="E34" i="1"/>
  <c r="J34" i="1" s="1"/>
  <c r="E33" i="1"/>
  <c r="J33" i="1" s="1"/>
  <c r="F27" i="1"/>
  <c r="J27" i="1" s="1"/>
  <c r="F6" i="1"/>
  <c r="E30" i="1"/>
  <c r="J30" i="1" s="1"/>
  <c r="J26" i="1"/>
  <c r="E10" i="1"/>
  <c r="J10" i="1" s="1"/>
  <c r="J15" i="1"/>
  <c r="J14" i="1"/>
  <c r="J13" i="1"/>
  <c r="J12" i="1"/>
  <c r="F11" i="1"/>
  <c r="J11" i="1" s="1"/>
  <c r="F22" i="1"/>
  <c r="E4" i="1"/>
  <c r="F7" i="1"/>
  <c r="A16" i="4"/>
  <c r="A17" i="4" s="1"/>
  <c r="A18" i="4" s="1"/>
  <c r="A19" i="4" s="1"/>
  <c r="A21" i="4" s="1"/>
  <c r="A27" i="4" s="1"/>
  <c r="A28" i="4" s="1"/>
  <c r="A29" i="4" s="1"/>
  <c r="A31" i="4" s="1"/>
  <c r="A40" i="4" s="1"/>
  <c r="A41" i="4" s="1"/>
  <c r="I31" i="4"/>
  <c r="I23" i="4"/>
  <c r="I15" i="4"/>
  <c r="L16" i="4"/>
  <c r="J32" i="1" l="1"/>
  <c r="E27" i="4" s="1"/>
  <c r="I27" i="4" s="1"/>
  <c r="I21" i="4"/>
  <c r="I56" i="4" s="1"/>
  <c r="I16" i="4"/>
  <c r="I46" i="4"/>
  <c r="E29" i="1"/>
  <c r="J29" i="1" s="1"/>
  <c r="I41" i="4"/>
  <c r="I40" i="4" l="1"/>
  <c r="M16" i="4"/>
  <c r="E25" i="1"/>
  <c r="J25" i="1" s="1"/>
  <c r="E24" i="1"/>
  <c r="J24" i="1" s="1"/>
  <c r="J23" i="1"/>
  <c r="J22" i="1"/>
  <c r="J9" i="1"/>
  <c r="J21" i="1"/>
  <c r="F5" i="1"/>
  <c r="J5" i="1" s="1"/>
  <c r="J6" i="1"/>
  <c r="J7" i="1"/>
  <c r="J8" i="1"/>
  <c r="J4" i="1"/>
  <c r="L9" i="6"/>
  <c r="L8" i="6"/>
  <c r="M8" i="6" s="1"/>
  <c r="L7" i="6"/>
  <c r="N7" i="6" s="1"/>
  <c r="A7" i="6"/>
  <c r="A8" i="6" s="1"/>
  <c r="A9" i="6" s="1"/>
  <c r="L6" i="6"/>
  <c r="M6" i="6" s="1"/>
  <c r="A5" i="1"/>
  <c r="A6" i="1" s="1"/>
  <c r="A7" i="1" s="1"/>
  <c r="A8" i="1" s="1"/>
  <c r="A9" i="1" s="1"/>
  <c r="J3" i="1" l="1"/>
  <c r="J20" i="1"/>
  <c r="I18" i="4" s="1"/>
  <c r="M7" i="6"/>
  <c r="I19" i="4"/>
  <c r="A21" i="1"/>
  <c r="A22" i="1" s="1"/>
  <c r="A23" i="1" s="1"/>
  <c r="A24" i="1" s="1"/>
  <c r="A25" i="1" s="1"/>
  <c r="A10" i="1"/>
  <c r="A11" i="1" s="1"/>
  <c r="A12" i="1" s="1"/>
  <c r="A13" i="1" s="1"/>
  <c r="A14" i="1" s="1"/>
  <c r="A15" i="1" s="1"/>
  <c r="P7" i="6"/>
  <c r="N9" i="6"/>
  <c r="P9" i="6" s="1"/>
  <c r="M9" i="6"/>
  <c r="N6" i="6"/>
  <c r="P6" i="6" s="1"/>
  <c r="N8" i="6"/>
  <c r="P8" i="6" s="1"/>
  <c r="K3" i="1"/>
  <c r="A26" i="1" l="1"/>
  <c r="A27" i="1" s="1"/>
  <c r="A28" i="1" s="1"/>
  <c r="A29" i="1" s="1"/>
  <c r="A30" i="1" s="1"/>
  <c r="P4" i="6"/>
  <c r="A16" i="1"/>
  <c r="A18" i="1" s="1"/>
  <c r="A19" i="1" s="1"/>
  <c r="A31" i="1" l="1"/>
  <c r="A32" i="1" s="1"/>
  <c r="A45" i="4"/>
  <c r="A46" i="4" s="1"/>
  <c r="A51" i="4" l="1"/>
  <c r="A56" i="4" s="1"/>
  <c r="A57" i="4" s="1"/>
  <c r="I52" i="4"/>
  <c r="I51" i="4" s="1"/>
</calcChain>
</file>

<file path=xl/sharedStrings.xml><?xml version="1.0" encoding="utf-8"?>
<sst xmlns="http://schemas.openxmlformats.org/spreadsheetml/2006/main" count="465" uniqueCount="246">
  <si>
    <t>Stt</t>
  </si>
  <si>
    <t>Nội dung</t>
  </si>
  <si>
    <t>Dài</t>
  </si>
  <si>
    <t>Dày</t>
  </si>
  <si>
    <t>Khối lượng</t>
  </si>
  <si>
    <t>BẢNG THỐNG KÊ KẾT CẤU THÉP</t>
  </si>
  <si>
    <t>Số lượng</t>
  </si>
  <si>
    <t>rộng</t>
  </si>
  <si>
    <t>Đơn vị</t>
  </si>
  <si>
    <t>m2</t>
  </si>
  <si>
    <t>I</t>
  </si>
  <si>
    <t>kg</t>
  </si>
  <si>
    <t>II</t>
  </si>
  <si>
    <t>Ghi chú:</t>
  </si>
  <si>
    <t>- Đơn giá trên chưa bao gồm thuế VAT 10%</t>
  </si>
  <si>
    <t>- Khối lượng dự toán trên lập theo bản vẽ thiết kế thi công Chủ đầu tư cấp, khối lượng quyết toán sau này sẽ nghiệm thu theo thực tế thi công. Các hạng mục phát sinh mà có trong đơn giá thì nhân với đơn giá đó, các hạng mục phát sinh không có trong dự toán thì hai bên sẽ thống nhất đơn giá để làm cơ sở quyết toán.</t>
  </si>
  <si>
    <t>Cao</t>
  </si>
  <si>
    <t>Đường kính</t>
  </si>
  <si>
    <t>L1</t>
  </si>
  <si>
    <t>L2</t>
  </si>
  <si>
    <t>L3</t>
  </si>
  <si>
    <t>L4</t>
  </si>
  <si>
    <t>L5</t>
  </si>
  <si>
    <t>L6</t>
  </si>
  <si>
    <t>Tổng chiều dài</t>
  </si>
  <si>
    <t>Số hiệu</t>
  </si>
  <si>
    <t>Số cấu kiện</t>
  </si>
  <si>
    <t>Nối</t>
  </si>
  <si>
    <t>Đai cổ cột</t>
  </si>
  <si>
    <t>BẢNG THỐNG KÊ  THÉP XD</t>
  </si>
  <si>
    <t xml:space="preserve">Tổng kl
(kg)
</t>
  </si>
  <si>
    <t>Khối lượng
(Kg)</t>
  </si>
  <si>
    <t>TLR</t>
  </si>
  <si>
    <t>Thanh ngang</t>
  </si>
  <si>
    <t>Thanh ngang khu cầu thang</t>
  </si>
  <si>
    <t xml:space="preserve">Thanh dọc nhà </t>
  </si>
  <si>
    <t>Thanh dọc nhà  trục 1-3</t>
  </si>
  <si>
    <t>Thanh dọc nhà  trục 4-7</t>
  </si>
  <si>
    <t>Thanh dọc nhà  trục lỗ cầu thang</t>
  </si>
  <si>
    <t>Bát đỉnh  cột và chân cột</t>
  </si>
  <si>
    <t>Sườn gia cường bản mã cột</t>
  </si>
  <si>
    <t>Bản mã nối dầm (vị trí đầu cột)</t>
  </si>
  <si>
    <t>CÔNG TY CỔ PHẦN ĐẦU TƯ VÀ XÂY DỰNG H&amp;T</t>
  </si>
  <si>
    <t>Đ/C: 243  Nguyễn Du, phường Nguyễn Du, TP.Hà Tĩnh, tỉnh Hà Tĩnh</t>
  </si>
  <si>
    <t>ĐT: 0915986109</t>
  </si>
  <si>
    <t>MST: 3002121911</t>
  </si>
  <si>
    <t>Hà Tĩnh, ngày 13 tháng 03 năm 2019</t>
  </si>
  <si>
    <t>No
STT</t>
  </si>
  <si>
    <t>ITEMS
Hạng Lục</t>
  </si>
  <si>
    <t>DESCRIPTION
Miêu tả chi tiết</t>
  </si>
  <si>
    <t>Unit
Đơn vị</t>
  </si>
  <si>
    <t xml:space="preserve">Dài </t>
  </si>
  <si>
    <t>Rộng</t>
  </si>
  <si>
    <t>KL</t>
  </si>
  <si>
    <t>Remarks
Ghi chú</t>
  </si>
  <si>
    <t>TOTAL 
Tổng</t>
  </si>
  <si>
    <t>(Not include V.A.T)</t>
  </si>
  <si>
    <t>VI</t>
  </si>
  <si>
    <t>Cạnh dài</t>
  </si>
  <si>
    <t>Cạnh ngắn</t>
  </si>
  <si>
    <t>ĐẠI DIỆN CHỦ ĐẦU TƯ</t>
  </si>
  <si>
    <t>ĐẠI DIỆN NHÀ THẦU</t>
  </si>
  <si>
    <t>Nhà chính</t>
  </si>
  <si>
    <t>Dọn dẹp và chuyển phế thải đi</t>
  </si>
  <si>
    <t>Gia công bản mã liên kết cột vào dầm tầng 3 (không có chờ sẵn)</t>
  </si>
  <si>
    <t>Gia công lắp dựng thép kế cấu (Dầm và cột)</t>
  </si>
  <si>
    <t>Gia công lắp dựng thép sườn (hộp 50x100x1.8 mạ kẽm)</t>
  </si>
  <si>
    <t>Lot</t>
  </si>
  <si>
    <t>Trát lót+ Ốp tường WC</t>
  </si>
  <si>
    <t>Trừ cửa</t>
  </si>
  <si>
    <t>Bu lông liên kết (M20 cường độ B5.6</t>
  </si>
  <si>
    <t>Bu lông liên kết M20 B5.6</t>
  </si>
  <si>
    <t>Chiếc</t>
  </si>
  <si>
    <t>Tháo dỡ mái nhà cũ và chuyển xuống tầng 1</t>
  </si>
  <si>
    <t>Vị trí</t>
  </si>
  <si>
    <t>Mái T3</t>
  </si>
  <si>
    <t>Cột T3</t>
  </si>
  <si>
    <t>Mái T4</t>
  </si>
  <si>
    <t>Mái T5</t>
  </si>
  <si>
    <t>SL kết cấu</t>
  </si>
  <si>
    <t>Cột T4</t>
  </si>
  <si>
    <t>Thép kết cấu I</t>
  </si>
  <si>
    <t>Sàn Tầng 4</t>
  </si>
  <si>
    <t>Sàn Tầng 5</t>
  </si>
  <si>
    <t>Trừ lỗ thoáng cầu thang Tầng 4</t>
  </si>
  <si>
    <t>Trừ lỗ thoáng cầu thang Tầng 5</t>
  </si>
  <si>
    <t>Chống thấm bằng màng khò bitumseal (lớp lót POLYPRIMER SB* + Màng khò)</t>
  </si>
  <si>
    <t>Diện tích mái T4</t>
  </si>
  <si>
    <t>Vén màng biên mái T4</t>
  </si>
  <si>
    <t>Diện tích mái T3</t>
  </si>
  <si>
    <t>Vén màng biên mái T3</t>
  </si>
  <si>
    <t>Tầng 3</t>
  </si>
  <si>
    <t>Tầng 4</t>
  </si>
  <si>
    <t>Tầng 5</t>
  </si>
  <si>
    <t>6.1</t>
  </si>
  <si>
    <t>6.2</t>
  </si>
  <si>
    <t>6.3</t>
  </si>
  <si>
    <t>6.4</t>
  </si>
  <si>
    <t>6.5</t>
  </si>
  <si>
    <t>Gia công  lắp dựng ván khuôn giằng tường</t>
  </si>
  <si>
    <t>Giằng nhà</t>
  </si>
  <si>
    <t>Thép chủ</t>
  </si>
  <si>
    <t>Tầng mái</t>
  </si>
  <si>
    <t>Sàn tầng 4</t>
  </si>
  <si>
    <t>Sàn tầng 5</t>
  </si>
  <si>
    <t>Sàn tầng mái</t>
  </si>
  <si>
    <t xml:space="preserve">Vận chuyển thép </t>
  </si>
  <si>
    <t>Vật tư phụ que hàn và đá cắt…</t>
  </si>
  <si>
    <t>Bằng Sikatopseal 107 + Sika Latech TH</t>
  </si>
  <si>
    <t>Bắn keo Silicone chống mưa tại khe hở trong quá trình thi công để chống mưa</t>
  </si>
  <si>
    <t>Lắp dựng tấm Cemboard Thai Lan dày 1.8 cm</t>
  </si>
  <si>
    <t>Bằng diện tích Cemboard</t>
  </si>
  <si>
    <t>ĐỊA ĐIỂM: SỐ 99 HÀNG CHIẾU, QUẬN HOÀN KIẾM, HÀ NỘI</t>
  </si>
  <si>
    <t>Cột I200x100 (7*10)</t>
  </si>
  <si>
    <t>Dầm I200x100 (7*10)</t>
  </si>
  <si>
    <t>Xây tường 110</t>
  </si>
  <si>
    <t xml:space="preserve">Sàn tầng 4 khu vực hành lang </t>
  </si>
  <si>
    <t xml:space="preserve">Sàn tầng 5 khu vực hành lang </t>
  </si>
  <si>
    <t>10.1</t>
  </si>
  <si>
    <t>10.2</t>
  </si>
  <si>
    <t>10.3</t>
  </si>
  <si>
    <t>Trừ giếng trời mặt sau</t>
  </si>
  <si>
    <t>Dầm đỡ thang máy</t>
  </si>
  <si>
    <t>Thanh đứng khung thang máy</t>
  </si>
  <si>
    <t>Thang máy</t>
  </si>
  <si>
    <t>Khu ngang thang máy</t>
  </si>
  <si>
    <t>Nhà WC</t>
  </si>
  <si>
    <t>Căn</t>
  </si>
  <si>
    <t>Lợp tôn Pu</t>
  </si>
  <si>
    <t>Tên</t>
  </si>
  <si>
    <t>kl</t>
  </si>
  <si>
    <t>Thanh I chân</t>
  </si>
  <si>
    <t>Cây</t>
  </si>
  <si>
    <t>Ống D48 dài 6m</t>
  </si>
  <si>
    <t>Ống D48 dài 4m</t>
  </si>
  <si>
    <t>Giếng trời</t>
  </si>
  <si>
    <t>Mặt trước</t>
  </si>
  <si>
    <t>Bên hông</t>
  </si>
  <si>
    <t>Chân kích</t>
  </si>
  <si>
    <t>Khóa D48</t>
  </si>
  <si>
    <t>Đứng Bên Hông</t>
  </si>
  <si>
    <t>Ngang  Bên Hông</t>
  </si>
  <si>
    <t>Thanh 2m giằng ngang</t>
  </si>
  <si>
    <t>Lưới chắn bụi</t>
  </si>
  <si>
    <t>Mặt hông</t>
  </si>
  <si>
    <t>Mặt sau</t>
  </si>
  <si>
    <t>Đơn giá chưa có vận chuyển</t>
  </si>
  <si>
    <t>9A</t>
  </si>
  <si>
    <t>18.1</t>
  </si>
  <si>
    <t>18.2</t>
  </si>
  <si>
    <t>18.3</t>
  </si>
  <si>
    <t>Cột I200x100x5.5x8</t>
  </si>
  <si>
    <t>Dầm I200x100x5.5x8</t>
  </si>
  <si>
    <t>10.4</t>
  </si>
  <si>
    <t>10.5</t>
  </si>
  <si>
    <t>10.6</t>
  </si>
  <si>
    <t>10.7</t>
  </si>
  <si>
    <t>Đóng lưới mắt cáo, cán nền, lát sàn</t>
  </si>
  <si>
    <t>md</t>
  </si>
  <si>
    <t>Khóa đỉnh tường tầng mái</t>
  </si>
  <si>
    <t>Gia công lắp dựng thép sườn (hộp 50x100x3.5)</t>
  </si>
  <si>
    <t>10.8</t>
  </si>
  <si>
    <t>Thép hộp mạ kẽm</t>
  </si>
  <si>
    <t>Sắt hộp đen</t>
  </si>
  <si>
    <t>III</t>
  </si>
  <si>
    <t>Kg</t>
  </si>
  <si>
    <t>5A</t>
  </si>
  <si>
    <t>12.1</t>
  </si>
  <si>
    <t>12.2</t>
  </si>
  <si>
    <t>12.3</t>
  </si>
  <si>
    <t>14.1</t>
  </si>
  <si>
    <t>14.2</t>
  </si>
  <si>
    <t>14.3</t>
  </si>
  <si>
    <t>14.4</t>
  </si>
  <si>
    <t>15.1</t>
  </si>
  <si>
    <t>15.2</t>
  </si>
  <si>
    <t>15.3</t>
  </si>
  <si>
    <t>15.4</t>
  </si>
  <si>
    <t>Phá dỡ tường 220 đã xây và dọn xuống tầng 1</t>
  </si>
  <si>
    <t>Hà Nội, ngày 03 tháng 05 năm 2019</t>
  </si>
  <si>
    <t>CÔNG TRÌNH: NHÀ Ở GIA ĐÌNH</t>
  </si>
  <si>
    <t>HẠNG MỤC: KẾT CẤU THÉP, XÂY DỰNG CƠ BẢN</t>
  </si>
  <si>
    <t xml:space="preserve">DIỄN GIẢI KHỐI LƯỢNG </t>
  </si>
  <si>
    <t>STT</t>
  </si>
  <si>
    <t>Công tác</t>
  </si>
  <si>
    <t>Nội dung công tác</t>
  </si>
  <si>
    <t xml:space="preserve">Vật tư </t>
  </si>
  <si>
    <t>Nhân Công</t>
  </si>
  <si>
    <t>Tổng cộng</t>
  </si>
  <si>
    <t>Ghi chú</t>
  </si>
  <si>
    <t>Đơn giá</t>
  </si>
  <si>
    <t>Thành tiền</t>
  </si>
  <si>
    <t>Ống</t>
  </si>
  <si>
    <t>Sơn lại tường trong nhà</t>
  </si>
  <si>
    <t>Tháo dỡ mái cũ và lọc ngói hỏng để vứt và ngói lành để lợp lại</t>
  </si>
  <si>
    <t>Bằng diện tích tháo mái</t>
  </si>
  <si>
    <t>m</t>
  </si>
  <si>
    <t xml:space="preserve">Bằng phần đục </t>
  </si>
  <si>
    <t>Sữa chữa phần mái</t>
  </si>
  <si>
    <t>Lắp lại hệ trần</t>
  </si>
  <si>
    <t>Sơn lại tường</t>
  </si>
  <si>
    <t>Lát nền</t>
  </si>
  <si>
    <t>Cán nền lên lớp nền cũ (phần trong nhà)</t>
  </si>
  <si>
    <t>Lát sàn</t>
  </si>
  <si>
    <t>Tháo dỡ và vệ sinh  trần nhựa</t>
  </si>
  <si>
    <t>Đục tẩy gờ mái 2 bên hông nhà để đảo mái và chuyển rác chạc xuống dưới</t>
  </si>
  <si>
    <t>Nếu rui mèn không hỏng thì không tính</t>
  </si>
  <si>
    <t>Xây trát làm lại gờ chắn mái 2 bên</t>
  </si>
  <si>
    <t>Đục tẩy và lát lại sàn ngoài</t>
  </si>
  <si>
    <t xml:space="preserve"> Sửa chữa lại các rui, mèn bị mục, gãy</t>
  </si>
  <si>
    <t xml:space="preserve">Vận chuyển toàn bộ rác, trạc </t>
  </si>
  <si>
    <t>Tháo dỡ và vệ sinh trần nhựa
(7.8*4.8=37.44)</t>
  </si>
  <si>
    <t>8*(3.7+2+2.5)=65.6</t>
  </si>
  <si>
    <t>2*(3.7+2+2.5)=16.4</t>
  </si>
  <si>
    <t>Vật tư phụ+nhân công</t>
  </si>
  <si>
    <t>2*(7.8+4.8)*3.1*0.9=70.31</t>
  </si>
  <si>
    <t>BẢNG TỔNG HỢP DỰ TOÁN CẢI TẠO BẾP NHÀ CHÙA</t>
  </si>
  <si>
    <t>Vệ sinh lại hề xà gồ, mái</t>
  </si>
  <si>
    <t>IV</t>
  </si>
  <si>
    <t>Tổng chi phí</t>
  </si>
  <si>
    <t>Lắp đặt lại mái (Ngói cừa loại 22 viên/md)</t>
  </si>
  <si>
    <t>Tính 70% ngói bị hỏng phải mua mới nên vật tư tính 70% còn nhân công tính 100%</t>
  </si>
  <si>
    <t>BẢNG TỔNG HỢP QUYẾT TOÁN CẢI TẠO BẾP NHÀ CHÙA</t>
  </si>
  <si>
    <t>2*(7.8+4.8)*3.1=70.31</t>
  </si>
  <si>
    <t>Trừ cửa sổ</t>
  </si>
  <si>
    <t>Trừ cửa đi</t>
  </si>
  <si>
    <t>Sơn tường trong nhà</t>
  </si>
  <si>
    <t>7.8*3.5+1.5*3+8.7*0.8+1.2*2*2</t>
  </si>
  <si>
    <t>-1.2*1.8</t>
  </si>
  <si>
    <t>-2*1.5*2.2*2</t>
  </si>
  <si>
    <t>Sơn ngoài nhà</t>
  </si>
  <si>
    <t>1.1</t>
  </si>
  <si>
    <t>1.2</t>
  </si>
  <si>
    <t>1.3</t>
  </si>
  <si>
    <t>1.4</t>
  </si>
  <si>
    <t>Phát sinh</t>
  </si>
  <si>
    <t>Sơn chống thấm ngoài nhà</t>
  </si>
  <si>
    <t>Trần thạch cao</t>
  </si>
  <si>
    <t>Lắp đặt hệ đèn chiếu sáng (6 bóng đèn led)</t>
  </si>
  <si>
    <t>Lát sân giếng</t>
  </si>
  <si>
    <t>Đục và thi công lại thoát nước giếng</t>
  </si>
  <si>
    <t>2*(3.5*6.5+6.5*2/2)+8*3</t>
  </si>
  <si>
    <t>Phần chênh giữa chi phí lắp lại trần cũ và trần mới</t>
  </si>
  <si>
    <t>1.5*1.2</t>
  </si>
  <si>
    <t>Phần này Ruacon công đức</t>
  </si>
  <si>
    <t>Tổng chi phí còn lại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</si>
</sst>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_(* \(#,##0\);_(* &quot;-&quot;_);_(@_)"/>
    <numFmt numFmtId="43" formatCode="_(* #,##0.00_);_(* \(#,##0.00\);_(* &quot;-&quot;??_);_(@_)"/>
    <numFmt numFmtId="164" formatCode="_(* #,##0_);_(* \(#,##0\);_(* &quot;-&quot;??_);_(@_)"/>
  </numFmts>
  <fonts count="33">
    <font>
      <sz val="11"/>
      <color theme="1"/>
      <name val="Calibri"/>
      <family val="2"/>
      <scheme val="minor"/>
    </font>
    <font>
      <sz val="11"/>
      <color theme="1"/>
      <name val="Calibri"/>
      <family val="2"/>
      <scheme val="minor"/>
    </font>
    <font>
      <sz val="13"/>
      <color theme="1"/>
      <name val="Times New Roman"/>
      <family val="1"/>
    </font>
    <font>
      <b/>
      <sz val="16"/>
      <color theme="1"/>
      <name val="Times New Roman"/>
      <family val="1"/>
    </font>
    <font>
      <sz val="11"/>
      <color indexed="8"/>
      <name val="Calibri"/>
      <family val="2"/>
      <charset val="1"/>
    </font>
    <font>
      <sz val="12"/>
      <name val="Times New Roman"/>
      <family val="1"/>
      <charset val="1"/>
    </font>
    <font>
      <b/>
      <sz val="12"/>
      <name val="Times New Roman"/>
      <family val="1"/>
    </font>
    <font>
      <sz val="8.25"/>
      <name val="Microsoft Sans Serif"/>
      <family val="2"/>
      <charset val="1"/>
    </font>
    <font>
      <b/>
      <sz val="12"/>
      <name val="Times New Roman"/>
      <family val="1"/>
      <charset val="1"/>
    </font>
    <font>
      <b/>
      <i/>
      <u/>
      <sz val="12"/>
      <name val="Times New Roman"/>
      <family val="1"/>
      <charset val="1"/>
    </font>
    <font>
      <b/>
      <sz val="13"/>
      <color theme="1"/>
      <name val="Times New Roman"/>
      <family val="1"/>
    </font>
    <font>
      <b/>
      <sz val="8.25"/>
      <name val="Times New Roman"/>
      <family val="1"/>
    </font>
    <font>
      <sz val="8.25"/>
      <name val="Microsoft Sans Serif"/>
      <family val="2"/>
    </font>
    <font>
      <sz val="9"/>
      <name val="Times New Roman"/>
      <family val="1"/>
    </font>
    <font>
      <sz val="10"/>
      <name val="Times New Roman"/>
      <family val="1"/>
    </font>
    <font>
      <sz val="12"/>
      <name val="Times New Roman"/>
      <family val="1"/>
    </font>
    <font>
      <b/>
      <sz val="18"/>
      <name val="Times New Roman"/>
      <family val="1"/>
    </font>
    <font>
      <sz val="8.25"/>
      <name val="Times New Roman"/>
      <family val="1"/>
    </font>
    <font>
      <sz val="10"/>
      <color rgb="FF000000"/>
      <name val="맑은 고딕"/>
    </font>
    <font>
      <sz val="8"/>
      <color rgb="FF000000"/>
      <name val="맑은 고딕"/>
    </font>
    <font>
      <b/>
      <sz val="8"/>
      <color rgb="FF000000"/>
      <name val="맑은 고딕"/>
    </font>
    <font>
      <sz val="8"/>
      <color rgb="FF000000"/>
      <name val="Times New Roman"/>
      <family val="1"/>
    </font>
    <font>
      <sz val="8"/>
      <name val="Times New Roman"/>
      <family val="1"/>
    </font>
    <font>
      <i/>
      <sz val="8"/>
      <color rgb="FFFF0000"/>
      <name val="Times New Roman"/>
      <family val="1"/>
    </font>
    <font>
      <i/>
      <sz val="12"/>
      <color rgb="FFFF0000"/>
      <name val="Times New Roman"/>
      <family val="1"/>
    </font>
    <font>
      <sz val="11"/>
      <name val="Times New Roman"/>
      <family val="1"/>
    </font>
    <font>
      <sz val="11"/>
      <color theme="1"/>
      <name val="Times New Roman"/>
      <family val="1"/>
    </font>
    <font>
      <sz val="14"/>
      <name val="Times New Roman"/>
      <family val="1"/>
    </font>
    <font>
      <b/>
      <sz val="14"/>
      <name val="Times New Roman"/>
      <family val="1"/>
    </font>
    <font>
      <b/>
      <sz val="14"/>
      <color rgb="FFFF0000"/>
      <name val="Times New Roman"/>
      <family val="1"/>
    </font>
    <font>
      <i/>
      <sz val="14"/>
      <color rgb="FFFF0000"/>
      <name val="Times New Roman"/>
      <family val="1"/>
    </font>
    <font>
      <b/>
      <i/>
      <sz val="14"/>
      <color rgb="FFFF0000"/>
      <name val="Times New Roman"/>
      <family val="1"/>
    </font>
    <font>
      <b/>
      <sz val="20"/>
      <name val="Times New Roman"/>
      <family val="1"/>
    </font>
  </fonts>
  <fills count="8">
    <fill>
      <patternFill patternType="none"/>
    </fill>
    <fill>
      <patternFill patternType="gray125"/>
    </fill>
    <fill>
      <patternFill patternType="solid">
        <fgColor theme="0"/>
        <bgColor indexed="64"/>
      </patternFill>
    </fill>
    <fill>
      <patternFill patternType="solid">
        <fgColor rgb="FF948A54"/>
        <bgColor indexed="64"/>
      </patternFill>
    </fill>
    <fill>
      <patternFill patternType="solid">
        <fgColor rgb="FFFFC000"/>
        <bgColor indexed="64"/>
      </patternFill>
    </fill>
    <fill>
      <patternFill patternType="solid">
        <fgColor rgb="FFD5C9A2"/>
        <bgColor indexed="64"/>
      </patternFill>
    </fill>
    <fill>
      <patternFill patternType="solid">
        <fgColor rgb="FFC4BD97"/>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8"/>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0" fontId="4" fillId="0" borderId="0"/>
    <xf numFmtId="0" fontId="7" fillId="0" borderId="0">
      <protection locked="0"/>
    </xf>
    <xf numFmtId="41" fontId="1" fillId="0" borderId="0" applyFont="0" applyFill="0" applyBorder="0" applyAlignment="0" applyProtection="0"/>
  </cellStyleXfs>
  <cellXfs count="196">
    <xf numFmtId="0" fontId="0" fillId="0" borderId="0" xfId="0"/>
    <xf numFmtId="0" fontId="2" fillId="0" borderId="0" xfId="0" applyFont="1"/>
    <xf numFmtId="0" fontId="3" fillId="0" borderId="0" xfId="0" applyFont="1"/>
    <xf numFmtId="0" fontId="2" fillId="0" borderId="1" xfId="0" applyFont="1" applyBorder="1"/>
    <xf numFmtId="2" fontId="2" fillId="0" borderId="1" xfId="0" applyNumberFormat="1" applyFont="1" applyBorder="1"/>
    <xf numFmtId="0" fontId="2" fillId="0" borderId="1" xfId="0" applyFont="1" applyBorder="1" applyAlignment="1">
      <alignment wrapText="1"/>
    </xf>
    <xf numFmtId="0" fontId="2" fillId="0" borderId="1" xfId="0" applyFont="1" applyBorder="1" applyAlignment="1">
      <alignment horizontal="center"/>
    </xf>
    <xf numFmtId="0" fontId="10" fillId="0" borderId="1" xfId="0" applyFont="1" applyBorder="1"/>
    <xf numFmtId="0" fontId="10" fillId="0" borderId="1" xfId="0" applyFont="1" applyBorder="1" applyAlignment="1">
      <alignment wrapText="1"/>
    </xf>
    <xf numFmtId="0" fontId="10" fillId="0" borderId="0" xfId="0" applyFont="1"/>
    <xf numFmtId="0" fontId="2" fillId="0" borderId="0" xfId="0" applyFont="1" applyAlignment="1">
      <alignment horizontal="center"/>
    </xf>
    <xf numFmtId="43" fontId="2" fillId="0" borderId="1" xfId="1" applyFont="1" applyBorder="1"/>
    <xf numFmtId="43" fontId="2" fillId="0" borderId="0" xfId="1" applyFont="1"/>
    <xf numFmtId="43" fontId="2" fillId="0" borderId="1" xfId="1" applyFont="1" applyBorder="1" applyAlignment="1">
      <alignment wrapText="1"/>
    </xf>
    <xf numFmtId="0" fontId="2" fillId="0" borderId="0" xfId="0" applyFont="1" applyAlignment="1">
      <alignment wrapText="1"/>
    </xf>
    <xf numFmtId="164" fontId="10" fillId="0" borderId="1" xfId="1" applyNumberFormat="1" applyFont="1" applyBorder="1" applyAlignment="1">
      <alignment wrapText="1"/>
    </xf>
    <xf numFmtId="43" fontId="10" fillId="0" borderId="1" xfId="1" applyFont="1" applyBorder="1"/>
    <xf numFmtId="43" fontId="10" fillId="0" borderId="1" xfId="1" applyFont="1" applyBorder="1" applyAlignment="1">
      <alignment wrapText="1"/>
    </xf>
    <xf numFmtId="164" fontId="10" fillId="0" borderId="1" xfId="1" applyNumberFormat="1" applyFont="1" applyBorder="1"/>
    <xf numFmtId="164" fontId="10" fillId="0" borderId="0" xfId="1" applyNumberFormat="1" applyFont="1"/>
    <xf numFmtId="0" fontId="2" fillId="0" borderId="1" xfId="0" applyFont="1" applyBorder="1" applyAlignment="1">
      <alignment horizontal="center" wrapText="1"/>
    </xf>
    <xf numFmtId="0" fontId="10" fillId="0" borderId="1" xfId="0" applyFont="1" applyBorder="1" applyAlignment="1">
      <alignment horizontal="center" wrapText="1"/>
    </xf>
    <xf numFmtId="164" fontId="10" fillId="0" borderId="1" xfId="1" applyNumberFormat="1" applyFont="1" applyBorder="1" applyAlignment="1">
      <alignment horizontal="center"/>
    </xf>
    <xf numFmtId="0" fontId="5" fillId="0" borderId="0" xfId="2" applyFont="1"/>
    <xf numFmtId="43" fontId="5" fillId="0" borderId="0" xfId="1" applyFont="1" applyFill="1" applyBorder="1" applyAlignment="1" applyProtection="1">
      <alignment horizontal="center"/>
    </xf>
    <xf numFmtId="43" fontId="5" fillId="0" borderId="0" xfId="1" applyFont="1" applyAlignment="1">
      <alignment horizontal="center"/>
    </xf>
    <xf numFmtId="43" fontId="5" fillId="0" borderId="0" xfId="1" applyFont="1"/>
    <xf numFmtId="43" fontId="11" fillId="0" borderId="0" xfId="1" applyFont="1" applyAlignment="1">
      <alignment horizontal="center" vertical="center"/>
    </xf>
    <xf numFmtId="0" fontId="12" fillId="0" borderId="0" xfId="0" applyFont="1"/>
    <xf numFmtId="0" fontId="13" fillId="0" borderId="0" xfId="0" applyFont="1" applyAlignment="1">
      <alignment vertical="center"/>
    </xf>
    <xf numFmtId="43" fontId="11" fillId="0" borderId="0" xfId="1" quotePrefix="1" applyFont="1" applyAlignment="1">
      <alignment horizontal="center" vertical="top"/>
    </xf>
    <xf numFmtId="0" fontId="14" fillId="0" borderId="0" xfId="0" applyFont="1" applyAlignment="1">
      <alignment horizontal="center" vertical="center"/>
    </xf>
    <xf numFmtId="43" fontId="14" fillId="0" borderId="0" xfId="1" applyFont="1" applyAlignment="1">
      <alignment horizontal="center" vertical="center"/>
    </xf>
    <xf numFmtId="43" fontId="15" fillId="0" borderId="0" xfId="1" applyFont="1" applyAlignment="1">
      <alignment horizontal="center"/>
    </xf>
    <xf numFmtId="43" fontId="12" fillId="0" borderId="0" xfId="1" applyFont="1" applyAlignment="1">
      <alignment horizontal="center"/>
    </xf>
    <xf numFmtId="43" fontId="12" fillId="0" borderId="0" xfId="1" applyFont="1"/>
    <xf numFmtId="43" fontId="15" fillId="0" borderId="0" xfId="1" applyFont="1" applyAlignment="1" applyProtection="1">
      <alignment horizontal="center" vertical="center"/>
      <protection locked="0"/>
    </xf>
    <xf numFmtId="41" fontId="18" fillId="3" borderId="1" xfId="4" applyNumberFormat="1" applyFont="1" applyFill="1" applyBorder="1" applyAlignment="1" applyProtection="1">
      <alignment horizontal="center" vertical="center" wrapText="1"/>
    </xf>
    <xf numFmtId="43" fontId="18" fillId="3" borderId="1" xfId="1" applyFont="1" applyFill="1" applyBorder="1" applyAlignment="1" applyProtection="1">
      <alignment horizontal="center" vertical="center" wrapText="1"/>
    </xf>
    <xf numFmtId="41" fontId="19" fillId="4" borderId="1" xfId="4" applyNumberFormat="1" applyFont="1" applyFill="1" applyBorder="1" applyAlignment="1" applyProtection="1">
      <alignment horizontal="center" vertical="center"/>
    </xf>
    <xf numFmtId="41" fontId="20" fillId="4" borderId="1" xfId="4" applyNumberFormat="1" applyFont="1" applyFill="1" applyBorder="1" applyAlignment="1" applyProtection="1">
      <alignment horizontal="left" vertical="center" wrapText="1"/>
    </xf>
    <xf numFmtId="41" fontId="19" fillId="4" borderId="1" xfId="4" applyNumberFormat="1" applyFont="1" applyFill="1" applyBorder="1" applyAlignment="1" applyProtection="1">
      <alignment horizontal="center" vertical="center" wrapText="1"/>
    </xf>
    <xf numFmtId="43" fontId="19" fillId="4" borderId="1" xfId="1" applyFont="1" applyFill="1" applyBorder="1" applyAlignment="1" applyProtection="1">
      <alignment horizontal="right" vertical="center"/>
    </xf>
    <xf numFmtId="41" fontId="19" fillId="4" borderId="1" xfId="4" applyNumberFormat="1" applyFont="1" applyFill="1" applyBorder="1" applyAlignment="1" applyProtection="1">
      <alignment horizontal="right" vertical="center"/>
    </xf>
    <xf numFmtId="0" fontId="5" fillId="0" borderId="0" xfId="2" applyFont="1" applyAlignment="1">
      <alignment vertical="center"/>
    </xf>
    <xf numFmtId="0" fontId="19" fillId="5" borderId="1" xfId="0" applyNumberFormat="1" applyFont="1" applyFill="1" applyBorder="1" applyAlignment="1" applyProtection="1">
      <alignment horizontal="center" vertical="center"/>
    </xf>
    <xf numFmtId="0" fontId="20" fillId="5" borderId="1" xfId="0" applyNumberFormat="1" applyFont="1" applyFill="1" applyBorder="1" applyAlignment="1" applyProtection="1">
      <alignment horizontal="left" vertical="center" wrapText="1"/>
    </xf>
    <xf numFmtId="0" fontId="19" fillId="5" borderId="1" xfId="0" applyNumberFormat="1" applyFont="1" applyFill="1" applyBorder="1" applyAlignment="1" applyProtection="1">
      <alignment horizontal="left" vertical="center" wrapText="1"/>
    </xf>
    <xf numFmtId="43" fontId="19" fillId="5" borderId="1" xfId="1" applyFont="1" applyFill="1" applyBorder="1" applyAlignment="1" applyProtection="1">
      <alignment horizontal="right" vertical="center"/>
    </xf>
    <xf numFmtId="43" fontId="19" fillId="5" borderId="1" xfId="1" applyFont="1" applyFill="1" applyBorder="1" applyAlignment="1" applyProtection="1">
      <alignment vertical="center"/>
    </xf>
    <xf numFmtId="41" fontId="19" fillId="6" borderId="1" xfId="4" applyNumberFormat="1" applyFont="1" applyFill="1" applyBorder="1" applyAlignment="1" applyProtection="1">
      <alignment horizontal="right" vertical="center"/>
    </xf>
    <xf numFmtId="0" fontId="23" fillId="2" borderId="1" xfId="0" quotePrefix="1" applyNumberFormat="1" applyFont="1" applyFill="1" applyBorder="1" applyAlignment="1" applyProtection="1">
      <alignment horizontal="center" vertical="center"/>
    </xf>
    <xf numFmtId="0" fontId="23" fillId="2" borderId="1" xfId="0" applyNumberFormat="1" applyFont="1" applyFill="1" applyBorder="1" applyAlignment="1" applyProtection="1">
      <alignment horizontal="left" vertical="center" wrapText="1"/>
    </xf>
    <xf numFmtId="0" fontId="23" fillId="2" borderId="1" xfId="0" applyNumberFormat="1" applyFont="1" applyFill="1" applyBorder="1" applyAlignment="1" applyProtection="1">
      <alignment horizontal="center" vertical="center"/>
    </xf>
    <xf numFmtId="43" fontId="23" fillId="2" borderId="1" xfId="1" applyFont="1" applyFill="1" applyBorder="1" applyAlignment="1" applyProtection="1">
      <alignment horizontal="right" vertical="center"/>
    </xf>
    <xf numFmtId="43" fontId="23" fillId="2" borderId="1" xfId="1" applyFont="1" applyFill="1" applyBorder="1" applyAlignment="1" applyProtection="1">
      <alignment vertical="center"/>
    </xf>
    <xf numFmtId="41" fontId="23" fillId="2" borderId="1" xfId="4" applyNumberFormat="1" applyFont="1" applyFill="1" applyBorder="1" applyAlignment="1" applyProtection="1">
      <alignment vertical="center"/>
    </xf>
    <xf numFmtId="41" fontId="23" fillId="2" borderId="1" xfId="4" applyNumberFormat="1" applyFont="1" applyFill="1" applyBorder="1" applyAlignment="1" applyProtection="1">
      <alignment horizontal="right" vertical="center"/>
    </xf>
    <xf numFmtId="0" fontId="9" fillId="0" borderId="0" xfId="2" applyFont="1" applyAlignment="1">
      <alignment vertical="center"/>
    </xf>
    <xf numFmtId="0" fontId="5" fillId="0" borderId="0" xfId="2" applyFont="1" applyAlignment="1">
      <alignment horizontal="center"/>
    </xf>
    <xf numFmtId="0" fontId="8" fillId="0" borderId="0" xfId="2" applyFont="1"/>
    <xf numFmtId="0" fontId="8" fillId="0" borderId="0" xfId="2" applyFont="1" applyAlignment="1">
      <alignment horizontal="center"/>
    </xf>
    <xf numFmtId="43" fontId="8" fillId="0" borderId="0" xfId="1" applyFont="1" applyAlignment="1">
      <alignment horizontal="center"/>
    </xf>
    <xf numFmtId="0" fontId="24" fillId="2" borderId="0" xfId="2" applyFont="1" applyFill="1" applyAlignment="1">
      <alignment vertical="center"/>
    </xf>
    <xf numFmtId="0" fontId="24" fillId="2" borderId="0" xfId="2" applyFont="1" applyFill="1"/>
    <xf numFmtId="0" fontId="22" fillId="2" borderId="1" xfId="0" applyNumberFormat="1" applyFont="1" applyFill="1" applyBorder="1" applyAlignment="1" applyProtection="1">
      <alignment horizontal="center" vertical="center"/>
    </xf>
    <xf numFmtId="0" fontId="22" fillId="2" borderId="1" xfId="0" applyNumberFormat="1" applyFont="1" applyFill="1" applyBorder="1" applyAlignment="1" applyProtection="1">
      <alignment horizontal="left" vertical="center" wrapText="1"/>
    </xf>
    <xf numFmtId="43" fontId="22" fillId="2" borderId="1" xfId="1" applyFont="1" applyFill="1" applyBorder="1" applyAlignment="1" applyProtection="1">
      <alignment vertical="center"/>
    </xf>
    <xf numFmtId="41" fontId="22" fillId="2" borderId="1" xfId="4" applyNumberFormat="1" applyFont="1" applyFill="1" applyBorder="1" applyAlignment="1" applyProtection="1">
      <alignment vertical="center"/>
    </xf>
    <xf numFmtId="41" fontId="22" fillId="2" borderId="1" xfId="4" applyNumberFormat="1" applyFont="1" applyFill="1" applyBorder="1" applyAlignment="1" applyProtection="1">
      <alignment horizontal="right" vertical="center"/>
    </xf>
    <xf numFmtId="0" fontId="15" fillId="2" borderId="0" xfId="2" applyFont="1" applyFill="1" applyAlignment="1">
      <alignment vertical="center"/>
    </xf>
    <xf numFmtId="0" fontId="15" fillId="2" borderId="0" xfId="2" applyFont="1" applyFill="1"/>
    <xf numFmtId="0" fontId="2" fillId="7" borderId="1" xfId="0" applyFont="1" applyFill="1" applyBorder="1" applyAlignment="1">
      <alignment horizontal="center"/>
    </xf>
    <xf numFmtId="0" fontId="2" fillId="7" borderId="1" xfId="0" applyFont="1" applyFill="1" applyBorder="1" applyAlignment="1">
      <alignment wrapText="1"/>
    </xf>
    <xf numFmtId="0" fontId="2" fillId="7" borderId="1" xfId="0" applyFont="1" applyFill="1" applyBorder="1"/>
    <xf numFmtId="2" fontId="2" fillId="7" borderId="1" xfId="0" applyNumberFormat="1" applyFont="1" applyFill="1" applyBorder="1"/>
    <xf numFmtId="0" fontId="2" fillId="7" borderId="0" xfId="0" applyFont="1" applyFill="1"/>
    <xf numFmtId="0" fontId="23" fillId="2" borderId="1" xfId="0" applyNumberFormat="1" applyFont="1" applyFill="1" applyBorder="1" applyAlignment="1" applyProtection="1">
      <alignment vertical="center" wrapText="1"/>
    </xf>
    <xf numFmtId="0" fontId="24" fillId="2" borderId="1" xfId="2" applyFont="1" applyFill="1" applyBorder="1"/>
    <xf numFmtId="41" fontId="24" fillId="2" borderId="0" xfId="2" applyNumberFormat="1" applyFont="1" applyFill="1" applyAlignment="1">
      <alignment vertical="center"/>
    </xf>
    <xf numFmtId="43" fontId="24" fillId="2" borderId="0" xfId="2" applyNumberFormat="1" applyFont="1" applyFill="1" applyAlignment="1">
      <alignment vertical="center"/>
    </xf>
    <xf numFmtId="0" fontId="22" fillId="7" borderId="1" xfId="0" applyNumberFormat="1" applyFont="1" applyFill="1" applyBorder="1" applyAlignment="1" applyProtection="1">
      <alignment horizontal="center" vertical="center"/>
    </xf>
    <xf numFmtId="0" fontId="22" fillId="7" borderId="1" xfId="0" applyNumberFormat="1" applyFont="1" applyFill="1" applyBorder="1" applyAlignment="1" applyProtection="1">
      <alignment horizontal="left" vertical="center" wrapText="1"/>
    </xf>
    <xf numFmtId="43" fontId="22" fillId="7" borderId="1" xfId="1" applyFont="1" applyFill="1" applyBorder="1" applyAlignment="1" applyProtection="1">
      <alignment horizontal="right" vertical="center"/>
    </xf>
    <xf numFmtId="43" fontId="22" fillId="7" borderId="1" xfId="1" applyFont="1" applyFill="1" applyBorder="1" applyAlignment="1" applyProtection="1">
      <alignment vertical="center"/>
    </xf>
    <xf numFmtId="41" fontId="22" fillId="7" borderId="1" xfId="4" applyNumberFormat="1" applyFont="1" applyFill="1" applyBorder="1" applyAlignment="1" applyProtection="1">
      <alignment horizontal="right" vertical="center"/>
    </xf>
    <xf numFmtId="0" fontId="15" fillId="7" borderId="0" xfId="2" applyFont="1" applyFill="1" applyAlignment="1">
      <alignment vertical="center"/>
    </xf>
    <xf numFmtId="0" fontId="15" fillId="7" borderId="0" xfId="2" applyFont="1" applyFill="1"/>
    <xf numFmtId="0" fontId="22" fillId="2" borderId="1" xfId="0" applyNumberFormat="1" applyFont="1" applyFill="1" applyBorder="1" applyAlignment="1" applyProtection="1">
      <alignment vertical="center" wrapText="1"/>
    </xf>
    <xf numFmtId="0" fontId="15" fillId="7" borderId="1" xfId="2" applyFont="1" applyFill="1" applyBorder="1" applyAlignment="1">
      <alignment vertical="center"/>
    </xf>
    <xf numFmtId="0" fontId="21" fillId="2" borderId="1" xfId="0" quotePrefix="1" applyNumberFormat="1" applyFont="1" applyFill="1" applyBorder="1" applyAlignment="1" applyProtection="1">
      <alignment horizontal="center" vertical="center"/>
    </xf>
    <xf numFmtId="43" fontId="24" fillId="2" borderId="0" xfId="1" applyFont="1" applyFill="1" applyAlignment="1">
      <alignment vertical="center"/>
    </xf>
    <xf numFmtId="0" fontId="2" fillId="0" borderId="1" xfId="0" applyFont="1" applyBorder="1" applyAlignment="1">
      <alignment horizontal="center" wrapText="1"/>
    </xf>
    <xf numFmtId="43" fontId="24" fillId="2" borderId="1" xfId="1" applyFont="1" applyFill="1" applyBorder="1" applyAlignment="1">
      <alignment vertical="center"/>
    </xf>
    <xf numFmtId="0" fontId="24" fillId="2" borderId="1" xfId="2" applyFont="1" applyFill="1" applyBorder="1" applyAlignment="1">
      <alignment vertical="center"/>
    </xf>
    <xf numFmtId="43" fontId="22" fillId="2" borderId="1" xfId="2" applyNumberFormat="1" applyFont="1" applyFill="1" applyBorder="1" applyAlignment="1">
      <alignment vertical="center"/>
    </xf>
    <xf numFmtId="0" fontId="22" fillId="7" borderId="0" xfId="2" applyFont="1" applyFill="1" applyAlignment="1">
      <alignment vertical="center"/>
    </xf>
    <xf numFmtId="0" fontId="22" fillId="7" borderId="0" xfId="2" applyFont="1" applyFill="1"/>
    <xf numFmtId="43" fontId="22" fillId="2" borderId="1" xfId="1" applyFont="1" applyFill="1" applyBorder="1" applyAlignment="1">
      <alignment vertical="center"/>
    </xf>
    <xf numFmtId="0" fontId="22" fillId="2" borderId="1" xfId="2" applyFont="1" applyFill="1" applyBorder="1" applyAlignment="1">
      <alignment vertical="center"/>
    </xf>
    <xf numFmtId="0" fontId="25" fillId="0" borderId="1" xfId="0" applyNumberFormat="1" applyFont="1" applyFill="1" applyBorder="1" applyAlignment="1" applyProtection="1">
      <alignment vertical="center" wrapText="1"/>
    </xf>
    <xf numFmtId="0" fontId="5" fillId="0" borderId="0" xfId="2" applyFont="1" applyFill="1"/>
    <xf numFmtId="0" fontId="12" fillId="0" borderId="0" xfId="0" applyFont="1" applyFill="1"/>
    <xf numFmtId="43" fontId="12" fillId="0" borderId="0" xfId="1" applyFont="1" applyFill="1"/>
    <xf numFmtId="43" fontId="15" fillId="0" borderId="0" xfId="1" applyFont="1" applyFill="1" applyAlignment="1">
      <alignment horizontal="center"/>
    </xf>
    <xf numFmtId="43" fontId="12" fillId="0" borderId="0" xfId="1" applyFont="1" applyFill="1" applyAlignment="1">
      <alignment horizontal="center"/>
    </xf>
    <xf numFmtId="43" fontId="15" fillId="0" borderId="0" xfId="1" applyFont="1" applyFill="1" applyAlignment="1" applyProtection="1">
      <alignment horizontal="center" vertical="center"/>
      <protection locked="0"/>
    </xf>
    <xf numFmtId="0" fontId="22" fillId="7" borderId="1" xfId="0" applyNumberFormat="1" applyFont="1" applyFill="1" applyBorder="1" applyAlignment="1" applyProtection="1">
      <alignment vertical="center" wrapText="1"/>
    </xf>
    <xf numFmtId="41" fontId="22" fillId="7" borderId="1" xfId="4" applyNumberFormat="1" applyFont="1" applyFill="1" applyBorder="1" applyAlignment="1" applyProtection="1">
      <alignment vertical="center"/>
    </xf>
    <xf numFmtId="43" fontId="15" fillId="7" borderId="1" xfId="1" applyFont="1" applyFill="1" applyBorder="1" applyAlignment="1">
      <alignment vertical="center"/>
    </xf>
    <xf numFmtId="43" fontId="22" fillId="7" borderId="1" xfId="2" applyNumberFormat="1" applyFont="1" applyFill="1" applyBorder="1" applyAlignment="1">
      <alignment vertical="center"/>
    </xf>
    <xf numFmtId="0" fontId="11" fillId="0" borderId="0" xfId="0" applyFont="1" applyAlignment="1">
      <alignment horizontal="center" vertical="center"/>
    </xf>
    <xf numFmtId="0" fontId="13" fillId="0" borderId="0" xfId="0" applyFont="1" applyAlignment="1">
      <alignment horizontal="center" vertical="center"/>
    </xf>
    <xf numFmtId="43" fontId="23" fillId="2" borderId="1" xfId="1" applyFont="1" applyFill="1" applyBorder="1" applyAlignment="1" applyProtection="1">
      <alignment horizontal="center" vertical="center"/>
    </xf>
    <xf numFmtId="43" fontId="22" fillId="2" borderId="1" xfId="1" applyFont="1" applyFill="1" applyBorder="1" applyAlignment="1" applyProtection="1">
      <alignment horizontal="center" vertical="center"/>
    </xf>
    <xf numFmtId="2" fontId="10" fillId="0" borderId="1" xfId="0" applyNumberFormat="1" applyFont="1" applyBorder="1" applyAlignment="1">
      <alignment vertical="center"/>
    </xf>
    <xf numFmtId="0" fontId="23" fillId="2" borderId="0" xfId="2" applyFont="1" applyFill="1" applyAlignment="1">
      <alignment vertical="center"/>
    </xf>
    <xf numFmtId="0" fontId="23" fillId="2" borderId="0" xfId="2" applyFont="1" applyFill="1"/>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vertical="center"/>
    </xf>
    <xf numFmtId="0" fontId="10" fillId="0" borderId="0" xfId="0" applyFont="1" applyAlignment="1">
      <alignment vertical="center"/>
    </xf>
    <xf numFmtId="0" fontId="26" fillId="0" borderId="0" xfId="0" applyFont="1"/>
    <xf numFmtId="164" fontId="26" fillId="0" borderId="0" xfId="1" applyNumberFormat="1" applyFont="1"/>
    <xf numFmtId="164" fontId="26" fillId="0" borderId="0" xfId="0" applyNumberFormat="1" applyFont="1"/>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vertical="center"/>
    </xf>
    <xf numFmtId="2" fontId="2" fillId="0" borderId="1" xfId="0" applyNumberFormat="1" applyFont="1" applyBorder="1" applyAlignment="1">
      <alignment vertical="center"/>
    </xf>
    <xf numFmtId="0" fontId="2" fillId="0" borderId="0" xfId="0" applyFont="1" applyAlignment="1">
      <alignment vertical="center"/>
    </xf>
    <xf numFmtId="0" fontId="2" fillId="7" borderId="1" xfId="0" applyFont="1" applyFill="1" applyBorder="1" applyAlignment="1">
      <alignment vertical="center" wrapText="1"/>
    </xf>
    <xf numFmtId="0" fontId="2" fillId="7" borderId="1" xfId="0" applyFont="1" applyFill="1" applyBorder="1" applyAlignment="1">
      <alignment horizontal="center" vertical="center"/>
    </xf>
    <xf numFmtId="0" fontId="2" fillId="7" borderId="1" xfId="0" applyFont="1" applyFill="1" applyBorder="1" applyAlignment="1">
      <alignment vertical="center"/>
    </xf>
    <xf numFmtId="2" fontId="2" fillId="7" borderId="1" xfId="0" applyNumberFormat="1" applyFont="1" applyFill="1" applyBorder="1" applyAlignment="1">
      <alignment vertical="center"/>
    </xf>
    <xf numFmtId="0" fontId="2" fillId="7" borderId="0" xfId="0" applyFont="1" applyFill="1" applyAlignment="1">
      <alignment vertical="center"/>
    </xf>
    <xf numFmtId="0" fontId="2" fillId="0" borderId="1" xfId="0" quotePrefix="1" applyFont="1" applyBorder="1" applyAlignment="1">
      <alignment horizontal="center" vertical="center"/>
    </xf>
    <xf numFmtId="0" fontId="22" fillId="7" borderId="1" xfId="0" applyNumberFormat="1" applyFont="1" applyFill="1" applyBorder="1" applyAlignment="1" applyProtection="1">
      <alignment horizontal="center" vertical="center" wrapText="1"/>
    </xf>
    <xf numFmtId="164" fontId="12" fillId="0" borderId="0" xfId="1" applyNumberFormat="1" applyFont="1"/>
    <xf numFmtId="164" fontId="5" fillId="0" borderId="0" xfId="1" applyNumberFormat="1" applyFont="1"/>
    <xf numFmtId="164" fontId="5" fillId="0" borderId="0" xfId="1" applyNumberFormat="1" applyFont="1" applyAlignment="1">
      <alignment vertical="center"/>
    </xf>
    <xf numFmtId="164" fontId="15" fillId="7" borderId="0" xfId="1" applyNumberFormat="1" applyFont="1" applyFill="1" applyAlignment="1">
      <alignment vertical="center"/>
    </xf>
    <xf numFmtId="164" fontId="24" fillId="2" borderId="0" xfId="1" applyNumberFormat="1" applyFont="1" applyFill="1" applyAlignment="1">
      <alignment vertical="center"/>
    </xf>
    <xf numFmtId="164" fontId="22" fillId="7" borderId="0" xfId="1" applyNumberFormat="1" applyFont="1" applyFill="1" applyAlignment="1">
      <alignment vertical="center"/>
    </xf>
    <xf numFmtId="164" fontId="15" fillId="2" borderId="0" xfId="1" applyNumberFormat="1" applyFont="1" applyFill="1" applyAlignment="1">
      <alignment vertical="center"/>
    </xf>
    <xf numFmtId="164" fontId="23" fillId="2" borderId="0" xfId="1" applyNumberFormat="1" applyFont="1" applyFill="1" applyAlignment="1">
      <alignment vertical="center"/>
    </xf>
    <xf numFmtId="164" fontId="8" fillId="0" borderId="0" xfId="1" applyNumberFormat="1" applyFont="1"/>
    <xf numFmtId="164" fontId="12" fillId="0" borderId="0" xfId="1" applyNumberFormat="1" applyFont="1" applyFill="1"/>
    <xf numFmtId="0" fontId="10" fillId="0" borderId="1" xfId="0" applyFont="1" applyBorder="1" applyAlignment="1">
      <alignment horizontal="center"/>
    </xf>
    <xf numFmtId="0" fontId="10" fillId="7" borderId="1" xfId="0" applyFont="1" applyFill="1" applyBorder="1" applyAlignment="1">
      <alignment wrapText="1"/>
    </xf>
    <xf numFmtId="2" fontId="10" fillId="0" borderId="1" xfId="0" applyNumberFormat="1" applyFont="1" applyBorder="1"/>
    <xf numFmtId="0" fontId="27" fillId="2" borderId="0" xfId="0" applyFont="1" applyFill="1" applyAlignment="1">
      <alignment horizontal="center" vertical="center" wrapText="1"/>
    </xf>
    <xf numFmtId="0" fontId="28" fillId="2" borderId="1" xfId="0" applyFont="1" applyFill="1" applyBorder="1" applyAlignment="1">
      <alignment horizontal="center" vertical="center" wrapText="1"/>
    </xf>
    <xf numFmtId="0" fontId="28" fillId="2" borderId="1" xfId="0" applyFont="1" applyFill="1" applyBorder="1" applyAlignment="1">
      <alignment vertical="center" wrapText="1"/>
    </xf>
    <xf numFmtId="0" fontId="28" fillId="2" borderId="1" xfId="0" applyFont="1" applyFill="1" applyBorder="1" applyAlignment="1">
      <alignment horizontal="left" vertical="center" wrapText="1"/>
    </xf>
    <xf numFmtId="164" fontId="27" fillId="2" borderId="1" xfId="1" applyNumberFormat="1" applyFont="1" applyFill="1" applyBorder="1" applyAlignment="1">
      <alignment horizontal="center" vertical="center" wrapText="1"/>
    </xf>
    <xf numFmtId="164" fontId="28" fillId="2" borderId="1" xfId="1" applyNumberFormat="1" applyFont="1" applyFill="1" applyBorder="1" applyAlignment="1">
      <alignment horizontal="center" vertical="center" wrapText="1"/>
    </xf>
    <xf numFmtId="164" fontId="28" fillId="2" borderId="1" xfId="0" applyNumberFormat="1" applyFont="1" applyFill="1" applyBorder="1" applyAlignment="1">
      <alignment horizontal="center" vertical="center" wrapText="1"/>
    </xf>
    <xf numFmtId="0" fontId="27"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164" fontId="27" fillId="2" borderId="1" xfId="0" applyNumberFormat="1" applyFont="1" applyFill="1" applyBorder="1" applyAlignment="1">
      <alignment horizontal="center" vertical="center" wrapText="1"/>
    </xf>
    <xf numFmtId="0" fontId="28" fillId="2" borderId="0" xfId="0" applyFont="1" applyFill="1" applyAlignment="1">
      <alignment horizontal="center" vertical="center" wrapText="1"/>
    </xf>
    <xf numFmtId="0" fontId="30" fillId="2" borderId="1" xfId="0" applyFont="1" applyFill="1" applyBorder="1" applyAlignment="1">
      <alignment horizontal="center" vertical="center" wrapText="1"/>
    </xf>
    <xf numFmtId="0" fontId="30" fillId="2" borderId="1" xfId="0" applyFont="1" applyFill="1" applyBorder="1" applyAlignment="1">
      <alignment horizontal="left" vertical="center" wrapText="1"/>
    </xf>
    <xf numFmtId="164" fontId="30" fillId="2" borderId="1" xfId="1" applyNumberFormat="1" applyFont="1" applyFill="1" applyBorder="1" applyAlignment="1">
      <alignment horizontal="center" vertical="center" wrapText="1"/>
    </xf>
    <xf numFmtId="164" fontId="30" fillId="2" borderId="1" xfId="0" applyNumberFormat="1" applyFont="1" applyFill="1" applyBorder="1" applyAlignment="1">
      <alignment horizontal="center" vertical="center" wrapText="1"/>
    </xf>
    <xf numFmtId="0" fontId="31" fillId="2" borderId="1" xfId="0" applyFont="1" applyFill="1" applyBorder="1" applyAlignment="1">
      <alignment horizontal="center" vertical="center" wrapText="1"/>
    </xf>
    <xf numFmtId="0" fontId="31" fillId="2" borderId="0" xfId="0" applyFont="1" applyFill="1" applyAlignment="1">
      <alignment horizontal="center" vertical="center" wrapText="1"/>
    </xf>
    <xf numFmtId="2" fontId="27" fillId="2" borderId="1" xfId="0" applyNumberFormat="1" applyFont="1" applyFill="1" applyBorder="1" applyAlignment="1">
      <alignment horizontal="center" vertical="center" wrapText="1"/>
    </xf>
    <xf numFmtId="0" fontId="29"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2" fontId="29" fillId="2" borderId="1" xfId="0" applyNumberFormat="1" applyFont="1" applyFill="1" applyBorder="1" applyAlignment="1">
      <alignment horizontal="center" vertical="center" wrapText="1"/>
    </xf>
    <xf numFmtId="164" fontId="29" fillId="2" borderId="1" xfId="1" applyNumberFormat="1" applyFont="1" applyFill="1" applyBorder="1" applyAlignment="1">
      <alignment horizontal="center" vertical="center" wrapText="1"/>
    </xf>
    <xf numFmtId="164" fontId="29" fillId="2" borderId="1" xfId="0" applyNumberFormat="1" applyFont="1" applyFill="1" applyBorder="1" applyAlignment="1">
      <alignment horizontal="center" vertical="center" wrapText="1"/>
    </xf>
    <xf numFmtId="0" fontId="27" fillId="2" borderId="0" xfId="0" applyFont="1" applyFill="1" applyAlignment="1">
      <alignment horizontal="left" vertical="center" wrapText="1"/>
    </xf>
    <xf numFmtId="164" fontId="27" fillId="2" borderId="0" xfId="0" applyNumberFormat="1" applyFont="1" applyFill="1" applyAlignment="1">
      <alignment horizontal="center" vertical="center" wrapText="1"/>
    </xf>
    <xf numFmtId="0" fontId="28" fillId="2" borderId="1" xfId="0"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5" fillId="0" borderId="0" xfId="2" quotePrefix="1" applyFont="1" applyAlignment="1">
      <alignment horizontal="left" vertical="center" wrapText="1"/>
    </xf>
    <xf numFmtId="0" fontId="5" fillId="0" borderId="0" xfId="2" applyFont="1" applyBorder="1" applyAlignment="1">
      <alignment horizontal="left" vertical="center" wrapText="1"/>
    </xf>
    <xf numFmtId="0" fontId="13" fillId="0" borderId="0" xfId="0" applyFont="1" applyAlignment="1">
      <alignment horizontal="left" vertical="center"/>
    </xf>
    <xf numFmtId="0" fontId="6" fillId="0" borderId="0" xfId="0" applyFont="1" applyFill="1" applyAlignment="1">
      <alignment horizontal="left" vertical="center" wrapText="1"/>
    </xf>
    <xf numFmtId="0" fontId="17" fillId="0" borderId="0" xfId="0" applyFont="1" applyFill="1" applyAlignment="1">
      <alignment horizontal="left" vertical="center"/>
    </xf>
    <xf numFmtId="0" fontId="6" fillId="0" borderId="7" xfId="3" applyFont="1" applyBorder="1" applyAlignment="1" applyProtection="1">
      <alignment horizontal="left" vertical="center" wrapText="1"/>
      <protection locked="0"/>
    </xf>
    <xf numFmtId="0" fontId="16" fillId="0" borderId="0" xfId="0" applyFont="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wrapText="1"/>
    </xf>
    <xf numFmtId="0" fontId="32" fillId="2" borderId="8"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30" fillId="2" borderId="1" xfId="0" quotePrefix="1" applyFont="1" applyFill="1" applyBorder="1" applyAlignment="1">
      <alignment horizontal="center" vertical="center" wrapText="1"/>
    </xf>
    <xf numFmtId="0" fontId="30" fillId="2" borderId="1" xfId="0" applyFont="1" applyFill="1" applyBorder="1" applyAlignment="1">
      <alignment vertical="center" wrapText="1"/>
    </xf>
  </cellXfs>
  <cellStyles count="5">
    <cellStyle name="Comma" xfId="1" builtinId="3"/>
    <cellStyle name="Comma [0]" xfId="4" builtinId="6"/>
    <cellStyle name="Excel Built-in Normal" xfId="2"/>
    <cellStyle name="Normal" xfId="0" builtinId="0"/>
    <cellStyle name="Normal 4"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xdr:colOff>
      <xdr:row>0</xdr:row>
      <xdr:rowOff>2</xdr:rowOff>
    </xdr:from>
    <xdr:to>
      <xdr:col>9</xdr:col>
      <xdr:colOff>581026</xdr:colOff>
      <xdr:row>6</xdr:row>
      <xdr:rowOff>19050</xdr:rowOff>
    </xdr:to>
    <xdr:pic>
      <xdr:nvPicPr>
        <xdr:cNvPr id="2" name="Picture 1" descr="Logo.png"/>
        <xdr:cNvPicPr>
          <a:picLocks noChangeAspect="1"/>
        </xdr:cNvPicPr>
      </xdr:nvPicPr>
      <xdr:blipFill>
        <a:blip xmlns:r="http://schemas.openxmlformats.org/officeDocument/2006/relationships" r:embed="rId1"/>
        <a:stretch>
          <a:fillRect/>
        </a:stretch>
      </xdr:blipFill>
      <xdr:spPr>
        <a:xfrm>
          <a:off x="2" y="2"/>
          <a:ext cx="7762874" cy="121919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M61"/>
  <sheetViews>
    <sheetView topLeftCell="A43" workbookViewId="0">
      <selection activeCell="Q11" sqref="Q11"/>
    </sheetView>
  </sheetViews>
  <sheetFormatPr defaultColWidth="9.140625" defaultRowHeight="15.75" outlineLevelRow="1"/>
  <cols>
    <col min="1" max="1" width="9.140625" style="23"/>
    <col min="2" max="2" width="22.42578125" style="23" customWidth="1"/>
    <col min="3" max="3" width="14.42578125" style="23" customWidth="1"/>
    <col min="4" max="4" width="9.140625" style="59"/>
    <col min="5" max="5" width="9.140625" style="24" customWidth="1"/>
    <col min="6" max="6" width="10.85546875" style="24" customWidth="1"/>
    <col min="7" max="8" width="10.85546875" style="25" customWidth="1"/>
    <col min="9" max="9" width="10.85546875" style="26" customWidth="1"/>
    <col min="10" max="10" width="9.140625" style="23" customWidth="1"/>
    <col min="11" max="11" width="14" style="23" hidden="1" customWidth="1"/>
    <col min="12" max="12" width="14.5703125" style="23" hidden="1" customWidth="1"/>
    <col min="13" max="13" width="17.140625" style="23" hidden="1" customWidth="1"/>
    <col min="14" max="14" width="18.7109375" style="23" hidden="1" customWidth="1"/>
    <col min="15" max="15" width="0" style="23" hidden="1" customWidth="1"/>
    <col min="16" max="16" width="14.5703125" style="23" hidden="1" customWidth="1"/>
    <col min="17" max="17" width="12.7109375" style="138" customWidth="1"/>
    <col min="18" max="16384" width="9.140625" style="23"/>
  </cols>
  <sheetData>
    <row r="1" spans="1:247">
      <c r="D1" s="111" t="s">
        <v>42</v>
      </c>
      <c r="H1" s="26"/>
      <c r="I1" s="27"/>
      <c r="J1" s="28"/>
      <c r="K1" s="28"/>
      <c r="L1" s="28"/>
      <c r="M1" s="28"/>
      <c r="N1" s="28"/>
      <c r="O1" s="28"/>
      <c r="P1" s="28"/>
      <c r="Q1" s="137"/>
      <c r="R1" s="28"/>
      <c r="S1" s="28"/>
      <c r="T1" s="28"/>
      <c r="U1" s="28"/>
      <c r="V1" s="28"/>
      <c r="W1" s="28"/>
      <c r="X1" s="28"/>
      <c r="Y1" s="28"/>
      <c r="Z1" s="28"/>
      <c r="AA1" s="28"/>
      <c r="AB1" s="28"/>
      <c r="AC1" s="28"/>
      <c r="AD1" s="28"/>
      <c r="AE1" s="28"/>
      <c r="AF1" s="28"/>
      <c r="AG1" s="28"/>
      <c r="AH1" s="28"/>
      <c r="AI1" s="28"/>
      <c r="AJ1" s="28"/>
      <c r="AK1" s="28"/>
      <c r="AL1" s="28"/>
      <c r="AM1" s="28"/>
      <c r="AN1" s="28"/>
      <c r="AO1" s="28"/>
      <c r="AP1" s="28"/>
      <c r="AQ1" s="28"/>
      <c r="AR1" s="28"/>
      <c r="AS1" s="28"/>
      <c r="AT1" s="28"/>
      <c r="AU1" s="28"/>
      <c r="AV1" s="28"/>
      <c r="AW1" s="28"/>
      <c r="AX1" s="28"/>
      <c r="AY1" s="28"/>
      <c r="AZ1" s="28"/>
      <c r="BA1" s="28"/>
      <c r="BB1" s="28"/>
      <c r="BC1" s="28"/>
      <c r="BD1" s="28"/>
      <c r="BE1" s="28"/>
      <c r="BF1" s="28"/>
      <c r="BG1" s="28"/>
      <c r="BH1" s="28"/>
      <c r="BI1" s="28"/>
      <c r="BJ1" s="28"/>
      <c r="BK1" s="28"/>
      <c r="BL1" s="28"/>
      <c r="BM1" s="28"/>
      <c r="BN1" s="28"/>
      <c r="BO1" s="28"/>
      <c r="BP1" s="28"/>
      <c r="BQ1" s="28"/>
      <c r="BR1" s="28"/>
      <c r="BS1" s="28"/>
      <c r="BT1" s="28"/>
      <c r="BU1" s="28"/>
      <c r="BV1" s="28"/>
      <c r="BW1" s="28"/>
      <c r="BX1" s="28"/>
      <c r="BY1" s="28"/>
      <c r="BZ1" s="28"/>
      <c r="CA1" s="28"/>
      <c r="CB1" s="28"/>
      <c r="CC1" s="28"/>
      <c r="CD1" s="28"/>
      <c r="CE1" s="28"/>
      <c r="CF1" s="28"/>
      <c r="CG1" s="28"/>
      <c r="CH1" s="28"/>
      <c r="CI1" s="28"/>
      <c r="CJ1" s="28"/>
      <c r="CK1" s="28"/>
      <c r="CL1" s="28"/>
      <c r="CM1" s="28"/>
      <c r="CN1" s="28"/>
      <c r="CO1" s="28"/>
      <c r="CP1" s="28"/>
      <c r="CQ1" s="28"/>
      <c r="CR1" s="28"/>
      <c r="CS1" s="28"/>
      <c r="CT1" s="28"/>
      <c r="CU1" s="28"/>
      <c r="CV1" s="28"/>
      <c r="CW1" s="28"/>
      <c r="CX1" s="28"/>
      <c r="CY1" s="28"/>
      <c r="CZ1" s="28"/>
      <c r="DA1" s="28"/>
      <c r="DB1" s="28"/>
      <c r="DC1" s="28"/>
      <c r="DD1" s="28"/>
      <c r="DE1" s="28"/>
      <c r="DF1" s="28"/>
      <c r="DG1" s="28"/>
      <c r="DH1" s="28"/>
      <c r="DI1" s="28"/>
      <c r="DJ1" s="28"/>
      <c r="DK1" s="28"/>
      <c r="DL1" s="28"/>
      <c r="DM1" s="28"/>
      <c r="DN1" s="28"/>
      <c r="DO1" s="28"/>
      <c r="DP1" s="28"/>
      <c r="DQ1" s="28"/>
      <c r="DR1" s="28"/>
      <c r="DS1" s="28"/>
      <c r="DT1" s="28"/>
      <c r="DU1" s="28"/>
      <c r="DV1" s="28"/>
      <c r="DW1" s="28"/>
      <c r="DX1" s="28"/>
      <c r="DY1" s="28"/>
      <c r="DZ1" s="28"/>
      <c r="EA1" s="28"/>
      <c r="EB1" s="28"/>
      <c r="EC1" s="28"/>
      <c r="ED1" s="28"/>
      <c r="EE1" s="28"/>
      <c r="EF1" s="28"/>
      <c r="EG1" s="28"/>
      <c r="EH1" s="28"/>
      <c r="EI1" s="28"/>
      <c r="EJ1" s="28"/>
      <c r="EK1" s="28"/>
      <c r="EL1" s="28"/>
      <c r="EM1" s="28"/>
      <c r="EN1" s="28"/>
      <c r="EO1" s="28"/>
      <c r="EP1" s="28"/>
      <c r="EQ1" s="28"/>
      <c r="ER1" s="28"/>
      <c r="ES1" s="28"/>
      <c r="ET1" s="28"/>
      <c r="EU1" s="28"/>
      <c r="EV1" s="28"/>
      <c r="EW1" s="28"/>
      <c r="EX1" s="28"/>
      <c r="EY1" s="28"/>
      <c r="EZ1" s="28"/>
      <c r="FA1" s="28"/>
      <c r="FB1" s="28"/>
      <c r="FC1" s="28"/>
      <c r="FD1" s="28"/>
      <c r="FE1" s="28"/>
      <c r="FF1" s="28"/>
      <c r="FG1" s="28"/>
      <c r="FH1" s="28"/>
      <c r="FI1" s="28"/>
      <c r="FJ1" s="28"/>
      <c r="FK1" s="28"/>
      <c r="FL1" s="28"/>
      <c r="FM1" s="28"/>
      <c r="FN1" s="28"/>
      <c r="FO1" s="28"/>
      <c r="FP1" s="28"/>
      <c r="FQ1" s="28"/>
      <c r="FR1" s="28"/>
      <c r="FS1" s="28"/>
      <c r="FT1" s="28"/>
      <c r="FU1" s="28"/>
      <c r="FV1" s="28"/>
      <c r="FW1" s="28"/>
      <c r="FX1" s="28"/>
      <c r="FY1" s="28"/>
      <c r="FZ1" s="28"/>
      <c r="GA1" s="28"/>
      <c r="GB1" s="28"/>
      <c r="GC1" s="28"/>
      <c r="GD1" s="28"/>
      <c r="GE1" s="28"/>
      <c r="GF1" s="28"/>
      <c r="GG1" s="28"/>
      <c r="GH1" s="28"/>
      <c r="GI1" s="28"/>
      <c r="GJ1" s="28"/>
      <c r="GK1" s="28"/>
      <c r="GL1" s="28"/>
      <c r="GM1" s="28"/>
      <c r="GN1" s="28"/>
      <c r="GO1" s="28"/>
      <c r="GP1" s="28"/>
      <c r="GQ1" s="28"/>
      <c r="GR1" s="28"/>
      <c r="GS1" s="28"/>
      <c r="GT1" s="28"/>
      <c r="GU1" s="28"/>
      <c r="GV1" s="28"/>
      <c r="GW1" s="28"/>
      <c r="GX1" s="28"/>
      <c r="GY1" s="28"/>
      <c r="GZ1" s="28"/>
      <c r="HA1" s="28"/>
      <c r="HB1" s="28"/>
      <c r="HC1" s="28"/>
      <c r="HD1" s="28"/>
      <c r="HE1" s="28"/>
      <c r="HF1" s="28"/>
      <c r="HG1" s="28"/>
      <c r="HH1" s="28"/>
      <c r="HI1" s="28"/>
      <c r="HJ1" s="28"/>
      <c r="HK1" s="28"/>
      <c r="HL1" s="28"/>
      <c r="HM1" s="28"/>
      <c r="HN1" s="28"/>
      <c r="HO1" s="28"/>
      <c r="HP1" s="28"/>
      <c r="HQ1" s="28"/>
      <c r="HR1" s="28"/>
      <c r="HS1" s="28"/>
      <c r="HT1" s="28"/>
      <c r="HU1" s="28"/>
      <c r="HV1" s="28"/>
      <c r="HW1" s="28"/>
      <c r="HX1" s="28"/>
      <c r="HY1" s="28"/>
      <c r="HZ1" s="28"/>
      <c r="IA1" s="28"/>
      <c r="IB1" s="28"/>
      <c r="IC1" s="28"/>
      <c r="ID1" s="28"/>
      <c r="IE1" s="28"/>
      <c r="IF1" s="28"/>
      <c r="IG1" s="28"/>
      <c r="IH1" s="28"/>
      <c r="II1" s="28"/>
      <c r="IJ1" s="28"/>
      <c r="IK1" s="28"/>
      <c r="IL1" s="28"/>
    </row>
    <row r="2" spans="1:247">
      <c r="D2" s="112" t="s">
        <v>43</v>
      </c>
      <c r="H2" s="26"/>
      <c r="I2" s="27"/>
      <c r="J2" s="28"/>
      <c r="K2" s="28"/>
      <c r="L2" s="28"/>
      <c r="M2" s="28"/>
      <c r="N2" s="28"/>
      <c r="O2" s="28"/>
      <c r="P2" s="28"/>
      <c r="Q2" s="137"/>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row>
    <row r="3" spans="1:247">
      <c r="D3" s="112" t="s">
        <v>44</v>
      </c>
      <c r="H3" s="26"/>
      <c r="I3" s="30"/>
      <c r="J3" s="28"/>
      <c r="K3" s="28"/>
      <c r="L3" s="28"/>
      <c r="M3" s="28"/>
      <c r="N3" s="28"/>
      <c r="O3" s="28"/>
      <c r="P3" s="28"/>
      <c r="Q3" s="137"/>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row>
    <row r="4" spans="1:247">
      <c r="D4" s="112" t="s">
        <v>45</v>
      </c>
      <c r="J4" s="28"/>
      <c r="K4" s="28"/>
      <c r="L4" s="28"/>
      <c r="M4" s="28"/>
      <c r="N4" s="28"/>
      <c r="O4" s="28"/>
      <c r="P4" s="28"/>
      <c r="Q4" s="137"/>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row>
    <row r="5" spans="1:247">
      <c r="C5" s="31"/>
      <c r="D5" s="181"/>
      <c r="E5" s="181"/>
      <c r="F5" s="32"/>
      <c r="G5" s="33"/>
      <c r="I5" s="32" t="s">
        <v>46</v>
      </c>
      <c r="J5" s="28"/>
      <c r="K5" s="28"/>
      <c r="L5" s="28"/>
      <c r="M5" s="28"/>
      <c r="N5" s="28"/>
      <c r="O5" s="28"/>
      <c r="P5" s="28"/>
      <c r="Q5" s="137"/>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row>
    <row r="6" spans="1:247">
      <c r="A6" s="29"/>
      <c r="B6" s="29"/>
      <c r="C6" s="31"/>
      <c r="D6" s="31"/>
      <c r="E6" s="32"/>
      <c r="F6" s="32"/>
      <c r="G6" s="33"/>
      <c r="H6" s="34"/>
      <c r="I6" s="35"/>
      <c r="J6" s="28"/>
      <c r="K6" s="28"/>
      <c r="L6" s="28"/>
      <c r="M6" s="28"/>
      <c r="N6" s="28"/>
      <c r="O6" s="28"/>
      <c r="P6" s="28"/>
      <c r="Q6" s="137"/>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row>
    <row r="7" spans="1:247" ht="25.5" customHeight="1">
      <c r="A7" s="29"/>
      <c r="B7" s="29"/>
      <c r="C7" s="31"/>
      <c r="D7" s="31"/>
      <c r="E7" s="32"/>
      <c r="F7" s="32"/>
      <c r="G7" s="26"/>
      <c r="H7" s="26"/>
      <c r="I7" s="32" t="s">
        <v>179</v>
      </c>
      <c r="J7" s="28"/>
      <c r="K7" s="28"/>
      <c r="L7" s="28"/>
      <c r="M7" s="28"/>
      <c r="N7" s="28"/>
      <c r="O7" s="28"/>
      <c r="P7" s="28"/>
      <c r="Q7" s="137"/>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row>
    <row r="8" spans="1:247" ht="26.25" customHeight="1">
      <c r="A8" s="185" t="s">
        <v>182</v>
      </c>
      <c r="B8" s="185"/>
      <c r="C8" s="185"/>
      <c r="D8" s="185"/>
      <c r="E8" s="185"/>
      <c r="F8" s="185"/>
      <c r="G8" s="185"/>
      <c r="H8" s="185"/>
      <c r="I8" s="185"/>
      <c r="J8" s="185"/>
      <c r="K8" s="28"/>
      <c r="L8" s="28"/>
      <c r="M8" s="28"/>
      <c r="N8" s="28"/>
      <c r="O8" s="28"/>
      <c r="P8" s="28"/>
      <c r="Q8" s="137"/>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row>
    <row r="9" spans="1:247" s="101" customFormat="1" ht="21" customHeight="1">
      <c r="A9" s="182" t="s">
        <v>180</v>
      </c>
      <c r="B9" s="183"/>
      <c r="C9" s="183"/>
      <c r="D9" s="183"/>
      <c r="E9" s="183"/>
      <c r="F9" s="183"/>
      <c r="G9" s="104"/>
      <c r="H9" s="105"/>
      <c r="I9" s="103"/>
      <c r="J9" s="102"/>
      <c r="K9" s="102"/>
      <c r="L9" s="102"/>
      <c r="M9" s="102"/>
      <c r="N9" s="146"/>
      <c r="O9" s="146"/>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2"/>
      <c r="AR9" s="102"/>
      <c r="AS9" s="102"/>
      <c r="AT9" s="102"/>
      <c r="AU9" s="102"/>
      <c r="AV9" s="102"/>
      <c r="AW9" s="102"/>
      <c r="AX9" s="102"/>
      <c r="AY9" s="102"/>
      <c r="AZ9" s="102"/>
      <c r="BA9" s="102"/>
      <c r="BB9" s="102"/>
      <c r="BC9" s="102"/>
      <c r="BD9" s="102"/>
      <c r="BE9" s="102"/>
      <c r="BF9" s="102"/>
      <c r="BG9" s="102"/>
      <c r="BH9" s="102"/>
      <c r="BI9" s="102"/>
      <c r="BJ9" s="102"/>
      <c r="BK9" s="102"/>
      <c r="BL9" s="102"/>
      <c r="BM9" s="102"/>
      <c r="BN9" s="102"/>
      <c r="BO9" s="102"/>
      <c r="BP9" s="102"/>
      <c r="BQ9" s="102"/>
      <c r="BR9" s="102"/>
      <c r="BS9" s="102"/>
      <c r="BT9" s="102"/>
      <c r="BU9" s="102"/>
      <c r="BV9" s="102"/>
      <c r="BW9" s="102"/>
      <c r="BX9" s="102"/>
      <c r="BY9" s="102"/>
      <c r="BZ9" s="102"/>
      <c r="CA9" s="102"/>
      <c r="CB9" s="102"/>
      <c r="CC9" s="102"/>
      <c r="CD9" s="102"/>
      <c r="CE9" s="102"/>
      <c r="CF9" s="102"/>
      <c r="CG9" s="102"/>
      <c r="CH9" s="102"/>
      <c r="CI9" s="102"/>
      <c r="CJ9" s="102"/>
      <c r="CK9" s="102"/>
      <c r="CL9" s="102"/>
      <c r="CM9" s="102"/>
      <c r="CN9" s="102"/>
      <c r="CO9" s="102"/>
      <c r="CP9" s="102"/>
      <c r="CQ9" s="102"/>
      <c r="CR9" s="102"/>
      <c r="CS9" s="102"/>
      <c r="CT9" s="102"/>
      <c r="CU9" s="102"/>
      <c r="CV9" s="102"/>
      <c r="CW9" s="102"/>
      <c r="CX9" s="102"/>
      <c r="CY9" s="102"/>
      <c r="CZ9" s="102"/>
      <c r="DA9" s="102"/>
      <c r="DB9" s="102"/>
      <c r="DC9" s="102"/>
      <c r="DD9" s="102"/>
      <c r="DE9" s="102"/>
      <c r="DF9" s="102"/>
      <c r="DG9" s="102"/>
      <c r="DH9" s="102"/>
      <c r="DI9" s="102"/>
      <c r="DJ9" s="102"/>
      <c r="DK9" s="102"/>
      <c r="DL9" s="102"/>
      <c r="DM9" s="102"/>
      <c r="DN9" s="102"/>
      <c r="DO9" s="102"/>
      <c r="DP9" s="102"/>
      <c r="DQ9" s="102"/>
      <c r="DR9" s="102"/>
      <c r="DS9" s="102"/>
      <c r="DT9" s="102"/>
      <c r="DU9" s="102"/>
      <c r="DV9" s="102"/>
      <c r="DW9" s="102"/>
      <c r="DX9" s="102"/>
      <c r="DY9" s="102"/>
      <c r="DZ9" s="102"/>
      <c r="EA9" s="102"/>
      <c r="EB9" s="102"/>
      <c r="EC9" s="102"/>
      <c r="ED9" s="102"/>
      <c r="EE9" s="102"/>
      <c r="EF9" s="102"/>
      <c r="EG9" s="102"/>
      <c r="EH9" s="102"/>
      <c r="EI9" s="102"/>
      <c r="EJ9" s="102"/>
      <c r="EK9" s="102"/>
      <c r="EL9" s="102"/>
      <c r="EM9" s="102"/>
      <c r="EN9" s="102"/>
      <c r="EO9" s="102"/>
      <c r="EP9" s="102"/>
      <c r="EQ9" s="102"/>
      <c r="ER9" s="102"/>
      <c r="ES9" s="102"/>
      <c r="ET9" s="102"/>
      <c r="EU9" s="102"/>
      <c r="EV9" s="102"/>
      <c r="EW9" s="102"/>
      <c r="EX9" s="102"/>
      <c r="EY9" s="102"/>
      <c r="EZ9" s="102"/>
      <c r="FA9" s="102"/>
      <c r="FB9" s="102"/>
      <c r="FC9" s="102"/>
      <c r="FD9" s="102"/>
      <c r="FE9" s="102"/>
      <c r="FF9" s="102"/>
      <c r="FG9" s="102"/>
      <c r="FH9" s="102"/>
      <c r="FI9" s="102"/>
      <c r="FJ9" s="102"/>
      <c r="FK9" s="102"/>
      <c r="FL9" s="102"/>
      <c r="FM9" s="102"/>
      <c r="FN9" s="102"/>
      <c r="FO9" s="102"/>
      <c r="FP9" s="102"/>
      <c r="FQ9" s="102"/>
      <c r="FR9" s="102"/>
      <c r="FS9" s="102"/>
      <c r="FT9" s="102"/>
      <c r="FU9" s="102"/>
      <c r="FV9" s="102"/>
      <c r="FW9" s="102"/>
      <c r="FX9" s="102"/>
      <c r="FY9" s="102"/>
      <c r="FZ9" s="102"/>
      <c r="GA9" s="102"/>
      <c r="GB9" s="102"/>
      <c r="GC9" s="102"/>
      <c r="GD9" s="102"/>
      <c r="GE9" s="102"/>
      <c r="GF9" s="102"/>
      <c r="GG9" s="102"/>
      <c r="GH9" s="102"/>
      <c r="GI9" s="102"/>
      <c r="GJ9" s="102"/>
      <c r="GK9" s="102"/>
      <c r="GL9" s="102"/>
      <c r="GM9" s="102"/>
      <c r="GN9" s="102"/>
      <c r="GO9" s="102"/>
      <c r="GP9" s="102"/>
      <c r="GQ9" s="102"/>
      <c r="GR9" s="102"/>
      <c r="GS9" s="102"/>
      <c r="GT9" s="102"/>
      <c r="GU9" s="102"/>
      <c r="GV9" s="102"/>
      <c r="GW9" s="102"/>
      <c r="GX9" s="102"/>
      <c r="GY9" s="102"/>
      <c r="GZ9" s="102"/>
      <c r="HA9" s="102"/>
      <c r="HB9" s="102"/>
      <c r="HC9" s="102"/>
      <c r="HD9" s="102"/>
      <c r="HE9" s="102"/>
      <c r="HF9" s="102"/>
      <c r="HG9" s="102"/>
      <c r="HH9" s="102"/>
      <c r="HI9" s="102"/>
      <c r="HJ9" s="102"/>
      <c r="HK9" s="102"/>
      <c r="HL9" s="102"/>
      <c r="HM9" s="102"/>
      <c r="HN9" s="102"/>
      <c r="HO9" s="102"/>
      <c r="HP9" s="102"/>
      <c r="HQ9" s="102"/>
      <c r="HR9" s="102"/>
      <c r="HS9" s="102"/>
      <c r="HT9" s="102"/>
      <c r="HU9" s="102"/>
      <c r="HV9" s="102"/>
      <c r="HW9" s="102"/>
      <c r="HX9" s="102"/>
      <c r="HY9" s="102"/>
      <c r="HZ9" s="102"/>
      <c r="IA9" s="102"/>
      <c r="IB9" s="102"/>
      <c r="IC9" s="102"/>
      <c r="ID9" s="102"/>
      <c r="IE9" s="102"/>
      <c r="IF9" s="102"/>
      <c r="IG9" s="102"/>
      <c r="IH9" s="102"/>
      <c r="II9" s="102"/>
    </row>
    <row r="10" spans="1:247" s="101" customFormat="1" ht="21" customHeight="1">
      <c r="A10" s="182" t="s">
        <v>181</v>
      </c>
      <c r="B10" s="183"/>
      <c r="C10" s="183"/>
      <c r="D10" s="183"/>
      <c r="E10" s="183"/>
      <c r="F10" s="183"/>
      <c r="G10" s="106"/>
      <c r="H10" s="105"/>
      <c r="I10" s="103"/>
      <c r="J10" s="102"/>
      <c r="K10" s="102"/>
      <c r="L10" s="102"/>
      <c r="M10" s="102"/>
      <c r="N10" s="146"/>
      <c r="O10" s="146"/>
      <c r="P10" s="102"/>
      <c r="Q10" s="102"/>
      <c r="R10" s="102"/>
      <c r="S10" s="102"/>
      <c r="T10" s="102"/>
      <c r="U10" s="102"/>
      <c r="V10" s="102"/>
      <c r="W10" s="102"/>
      <c r="X10" s="102"/>
      <c r="Y10" s="102"/>
      <c r="Z10" s="102"/>
      <c r="AA10" s="102"/>
      <c r="AB10" s="102"/>
      <c r="AC10" s="102"/>
      <c r="AD10" s="102"/>
      <c r="AE10" s="102"/>
      <c r="AF10" s="102"/>
      <c r="AG10" s="102"/>
      <c r="AH10" s="102"/>
      <c r="AI10" s="102"/>
      <c r="AJ10" s="102"/>
      <c r="AK10" s="102"/>
      <c r="AL10" s="102"/>
      <c r="AM10" s="102"/>
      <c r="AN10" s="102"/>
      <c r="AO10" s="102"/>
      <c r="AP10" s="102"/>
      <c r="AQ10" s="102"/>
      <c r="AR10" s="102"/>
      <c r="AS10" s="102"/>
      <c r="AT10" s="102"/>
      <c r="AU10" s="102"/>
      <c r="AV10" s="102"/>
      <c r="AW10" s="102"/>
      <c r="AX10" s="102"/>
      <c r="AY10" s="102"/>
      <c r="AZ10" s="102"/>
      <c r="BA10" s="102"/>
      <c r="BB10" s="102"/>
      <c r="BC10" s="102"/>
      <c r="BD10" s="102"/>
      <c r="BE10" s="102"/>
      <c r="BF10" s="102"/>
      <c r="BG10" s="102"/>
      <c r="BH10" s="102"/>
      <c r="BI10" s="102"/>
      <c r="BJ10" s="102"/>
      <c r="BK10" s="102"/>
      <c r="BL10" s="102"/>
      <c r="BM10" s="102"/>
      <c r="BN10" s="102"/>
      <c r="BO10" s="102"/>
      <c r="BP10" s="102"/>
      <c r="BQ10" s="102"/>
      <c r="BR10" s="102"/>
      <c r="BS10" s="102"/>
      <c r="BT10" s="102"/>
      <c r="BU10" s="102"/>
      <c r="BV10" s="102"/>
      <c r="BW10" s="102"/>
      <c r="BX10" s="102"/>
      <c r="BY10" s="102"/>
      <c r="BZ10" s="102"/>
      <c r="CA10" s="102"/>
      <c r="CB10" s="102"/>
      <c r="CC10" s="102"/>
      <c r="CD10" s="102"/>
      <c r="CE10" s="102"/>
      <c r="CF10" s="102"/>
      <c r="CG10" s="102"/>
      <c r="CH10" s="102"/>
      <c r="CI10" s="102"/>
      <c r="CJ10" s="102"/>
      <c r="CK10" s="102"/>
      <c r="CL10" s="102"/>
      <c r="CM10" s="102"/>
      <c r="CN10" s="102"/>
      <c r="CO10" s="102"/>
      <c r="CP10" s="102"/>
      <c r="CQ10" s="102"/>
      <c r="CR10" s="102"/>
      <c r="CS10" s="102"/>
      <c r="CT10" s="102"/>
      <c r="CU10" s="102"/>
      <c r="CV10" s="102"/>
      <c r="CW10" s="102"/>
      <c r="CX10" s="102"/>
      <c r="CY10" s="102"/>
      <c r="CZ10" s="102"/>
      <c r="DA10" s="102"/>
      <c r="DB10" s="102"/>
      <c r="DC10" s="102"/>
      <c r="DD10" s="102"/>
      <c r="DE10" s="102"/>
      <c r="DF10" s="102"/>
      <c r="DG10" s="102"/>
      <c r="DH10" s="102"/>
      <c r="DI10" s="102"/>
      <c r="DJ10" s="102"/>
      <c r="DK10" s="102"/>
      <c r="DL10" s="102"/>
      <c r="DM10" s="102"/>
      <c r="DN10" s="102"/>
      <c r="DO10" s="102"/>
      <c r="DP10" s="102"/>
      <c r="DQ10" s="102"/>
      <c r="DR10" s="102"/>
      <c r="DS10" s="102"/>
      <c r="DT10" s="102"/>
      <c r="DU10" s="102"/>
      <c r="DV10" s="102"/>
      <c r="DW10" s="102"/>
      <c r="DX10" s="102"/>
      <c r="DY10" s="102"/>
      <c r="DZ10" s="102"/>
      <c r="EA10" s="102"/>
      <c r="EB10" s="102"/>
      <c r="EC10" s="102"/>
      <c r="ED10" s="102"/>
      <c r="EE10" s="102"/>
      <c r="EF10" s="102"/>
      <c r="EG10" s="102"/>
      <c r="EH10" s="102"/>
      <c r="EI10" s="102"/>
      <c r="EJ10" s="102"/>
      <c r="EK10" s="102"/>
      <c r="EL10" s="102"/>
      <c r="EM10" s="102"/>
      <c r="EN10" s="102"/>
      <c r="EO10" s="102"/>
      <c r="EP10" s="102"/>
      <c r="EQ10" s="102"/>
      <c r="ER10" s="102"/>
      <c r="ES10" s="102"/>
      <c r="ET10" s="102"/>
      <c r="EU10" s="102"/>
      <c r="EV10" s="102"/>
      <c r="EW10" s="102"/>
      <c r="EX10" s="102"/>
      <c r="EY10" s="102"/>
      <c r="EZ10" s="102"/>
      <c r="FA10" s="102"/>
      <c r="FB10" s="102"/>
      <c r="FC10" s="102"/>
      <c r="FD10" s="102"/>
      <c r="FE10" s="102"/>
      <c r="FF10" s="102"/>
      <c r="FG10" s="102"/>
      <c r="FH10" s="102"/>
      <c r="FI10" s="102"/>
      <c r="FJ10" s="102"/>
      <c r="FK10" s="102"/>
      <c r="FL10" s="102"/>
      <c r="FM10" s="102"/>
      <c r="FN10" s="102"/>
      <c r="FO10" s="102"/>
      <c r="FP10" s="102"/>
      <c r="FQ10" s="102"/>
      <c r="FR10" s="102"/>
      <c r="FS10" s="102"/>
      <c r="FT10" s="102"/>
      <c r="FU10" s="102"/>
      <c r="FV10" s="102"/>
      <c r="FW10" s="102"/>
      <c r="FX10" s="102"/>
      <c r="FY10" s="102"/>
      <c r="FZ10" s="102"/>
      <c r="GA10" s="102"/>
      <c r="GB10" s="102"/>
      <c r="GC10" s="102"/>
      <c r="GD10" s="102"/>
      <c r="GE10" s="102"/>
      <c r="GF10" s="102"/>
      <c r="GG10" s="102"/>
      <c r="GH10" s="102"/>
      <c r="GI10" s="102"/>
      <c r="GJ10" s="102"/>
      <c r="GK10" s="102"/>
      <c r="GL10" s="102"/>
      <c r="GM10" s="102"/>
      <c r="GN10" s="102"/>
      <c r="GO10" s="102"/>
      <c r="GP10" s="102"/>
      <c r="GQ10" s="102"/>
      <c r="GR10" s="102"/>
      <c r="GS10" s="102"/>
      <c r="GT10" s="102"/>
      <c r="GU10" s="102"/>
      <c r="GV10" s="102"/>
      <c r="GW10" s="102"/>
      <c r="GX10" s="102"/>
      <c r="GY10" s="102"/>
      <c r="GZ10" s="102"/>
      <c r="HA10" s="102"/>
      <c r="HB10" s="102"/>
      <c r="HC10" s="102"/>
      <c r="HD10" s="102"/>
      <c r="HE10" s="102"/>
      <c r="HF10" s="102"/>
      <c r="HG10" s="102"/>
      <c r="HH10" s="102"/>
      <c r="HI10" s="102"/>
      <c r="HJ10" s="102"/>
      <c r="HK10" s="102"/>
      <c r="HL10" s="102"/>
      <c r="HM10" s="102"/>
      <c r="HN10" s="102"/>
      <c r="HO10" s="102"/>
      <c r="HP10" s="102"/>
      <c r="HQ10" s="102"/>
      <c r="HR10" s="102"/>
      <c r="HS10" s="102"/>
      <c r="HT10" s="102"/>
      <c r="HU10" s="102"/>
      <c r="HV10" s="102"/>
      <c r="HW10" s="102"/>
      <c r="HX10" s="102"/>
      <c r="HY10" s="102"/>
      <c r="HZ10" s="102"/>
      <c r="IA10" s="102"/>
      <c r="IB10" s="102"/>
      <c r="IC10" s="102"/>
      <c r="ID10" s="102"/>
      <c r="IE10" s="102"/>
      <c r="IF10" s="102"/>
      <c r="IG10" s="102"/>
      <c r="IH10" s="102"/>
      <c r="II10" s="102"/>
    </row>
    <row r="11" spans="1:247" ht="21" customHeight="1">
      <c r="A11" s="184" t="s">
        <v>112</v>
      </c>
      <c r="B11" s="184"/>
      <c r="C11" s="184"/>
      <c r="D11" s="184"/>
      <c r="E11" s="184"/>
      <c r="F11" s="184"/>
      <c r="G11" s="36"/>
      <c r="H11" s="34"/>
      <c r="I11" s="35"/>
      <c r="J11" s="28"/>
      <c r="K11" s="28"/>
      <c r="L11" s="28"/>
      <c r="M11" s="28"/>
      <c r="N11" s="28"/>
      <c r="O11" s="28"/>
      <c r="P11" s="28"/>
      <c r="Q11" s="137"/>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row>
    <row r="12" spans="1:247" ht="37.5" customHeight="1">
      <c r="A12" s="37" t="s">
        <v>47</v>
      </c>
      <c r="B12" s="37" t="s">
        <v>48</v>
      </c>
      <c r="C12" s="37" t="s">
        <v>49</v>
      </c>
      <c r="D12" s="37" t="s">
        <v>50</v>
      </c>
      <c r="E12" s="38" t="s">
        <v>6</v>
      </c>
      <c r="F12" s="38" t="s">
        <v>51</v>
      </c>
      <c r="G12" s="38" t="s">
        <v>52</v>
      </c>
      <c r="H12" s="38" t="s">
        <v>16</v>
      </c>
      <c r="I12" s="38" t="s">
        <v>53</v>
      </c>
      <c r="J12" s="37" t="s">
        <v>54</v>
      </c>
    </row>
    <row r="13" spans="1:247" ht="40.5" customHeight="1">
      <c r="A13" s="39"/>
      <c r="B13" s="40" t="s">
        <v>55</v>
      </c>
      <c r="C13" s="40" t="s">
        <v>56</v>
      </c>
      <c r="D13" s="41"/>
      <c r="E13" s="42"/>
      <c r="F13" s="42"/>
      <c r="G13" s="42"/>
      <c r="H13" s="42"/>
      <c r="I13" s="42"/>
      <c r="J13" s="43"/>
      <c r="K13" s="44"/>
      <c r="L13" s="44"/>
      <c r="M13" s="44"/>
      <c r="N13" s="44"/>
      <c r="O13" s="44"/>
      <c r="P13" s="44"/>
      <c r="Q13" s="139"/>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c r="GN13" s="44"/>
      <c r="GO13" s="44"/>
      <c r="GP13" s="44"/>
      <c r="GQ13" s="44"/>
      <c r="GR13" s="44"/>
      <c r="GS13" s="44"/>
      <c r="GT13" s="44"/>
      <c r="GU13" s="44"/>
      <c r="GV13" s="44"/>
      <c r="GW13" s="44"/>
      <c r="GX13" s="44"/>
      <c r="GY13" s="44"/>
      <c r="GZ13" s="44"/>
      <c r="HA13" s="44"/>
      <c r="HB13" s="44"/>
      <c r="HC13" s="44"/>
      <c r="HD13" s="44"/>
      <c r="HE13" s="44"/>
      <c r="HF13" s="44"/>
      <c r="HG13" s="44"/>
      <c r="HH13" s="44"/>
      <c r="HI13" s="44"/>
      <c r="HJ13" s="44"/>
      <c r="HK13" s="44"/>
      <c r="HL13" s="44"/>
      <c r="HM13" s="44"/>
      <c r="HN13" s="44"/>
      <c r="HO13" s="44"/>
      <c r="HP13" s="44"/>
      <c r="HQ13" s="44"/>
      <c r="HR13" s="44"/>
      <c r="HS13" s="44"/>
      <c r="HT13" s="44"/>
      <c r="HU13" s="44"/>
      <c r="HV13" s="44"/>
      <c r="HW13" s="44"/>
      <c r="HX13" s="44"/>
      <c r="HY13" s="44"/>
      <c r="HZ13" s="44"/>
      <c r="IA13" s="44"/>
      <c r="IB13" s="44"/>
      <c r="IC13" s="44"/>
      <c r="ID13" s="44"/>
      <c r="IE13" s="44"/>
      <c r="IF13" s="44"/>
      <c r="IG13" s="44"/>
      <c r="IH13" s="44"/>
      <c r="II13" s="44"/>
      <c r="IJ13" s="44"/>
      <c r="IK13" s="44"/>
      <c r="IL13" s="44"/>
      <c r="IM13" s="44"/>
    </row>
    <row r="14" spans="1:247">
      <c r="A14" s="45" t="s">
        <v>57</v>
      </c>
      <c r="B14" s="46" t="s">
        <v>62</v>
      </c>
      <c r="C14" s="47"/>
      <c r="D14" s="45"/>
      <c r="E14" s="48"/>
      <c r="F14" s="48"/>
      <c r="G14" s="49"/>
      <c r="H14" s="48"/>
      <c r="I14" s="49"/>
      <c r="J14" s="50"/>
      <c r="K14" s="44"/>
      <c r="L14" s="44"/>
      <c r="M14" s="44"/>
      <c r="N14" s="44"/>
      <c r="O14" s="44"/>
      <c r="P14" s="44"/>
      <c r="Q14" s="139"/>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c r="GN14" s="44"/>
      <c r="GO14" s="44"/>
      <c r="GP14" s="44"/>
      <c r="GQ14" s="44"/>
      <c r="GR14" s="44"/>
      <c r="GS14" s="44"/>
      <c r="GT14" s="44"/>
      <c r="GU14" s="44"/>
      <c r="GV14" s="44"/>
      <c r="GW14" s="44"/>
      <c r="GX14" s="44"/>
      <c r="GY14" s="44"/>
      <c r="GZ14" s="44"/>
      <c r="HA14" s="44"/>
      <c r="HB14" s="44"/>
      <c r="HC14" s="44"/>
      <c r="HD14" s="44"/>
      <c r="HE14" s="44"/>
      <c r="HF14" s="44"/>
      <c r="HG14" s="44"/>
      <c r="HH14" s="44"/>
      <c r="HI14" s="44"/>
      <c r="HJ14" s="44"/>
      <c r="HK14" s="44"/>
      <c r="HL14" s="44"/>
      <c r="HM14" s="44"/>
      <c r="HN14" s="44"/>
      <c r="HO14" s="44"/>
      <c r="HP14" s="44"/>
      <c r="HQ14" s="44"/>
      <c r="HR14" s="44"/>
      <c r="HS14" s="44"/>
      <c r="HT14" s="44"/>
      <c r="HU14" s="44"/>
      <c r="HV14" s="44"/>
      <c r="HW14" s="44"/>
      <c r="HX14" s="44"/>
      <c r="HY14" s="44"/>
      <c r="HZ14" s="44"/>
      <c r="IA14" s="44"/>
      <c r="IB14" s="44"/>
      <c r="IC14" s="44"/>
      <c r="ID14" s="44"/>
      <c r="IE14" s="44"/>
      <c r="IF14" s="44"/>
      <c r="IG14" s="44"/>
      <c r="IH14" s="44"/>
      <c r="II14" s="44"/>
      <c r="IJ14" s="44"/>
      <c r="IK14" s="44"/>
      <c r="IL14" s="44"/>
      <c r="IM14" s="44"/>
    </row>
    <row r="15" spans="1:247" s="87" customFormat="1" ht="25.5" customHeight="1">
      <c r="A15" s="81">
        <v>1</v>
      </c>
      <c r="B15" s="82" t="s">
        <v>73</v>
      </c>
      <c r="C15" s="82"/>
      <c r="D15" s="81" t="s">
        <v>9</v>
      </c>
      <c r="E15" s="83">
        <v>1</v>
      </c>
      <c r="F15" s="83">
        <v>18.8</v>
      </c>
      <c r="G15" s="84">
        <v>3.4</v>
      </c>
      <c r="H15" s="83"/>
      <c r="I15" s="84">
        <f>PRODUCT(E15:H15)*1.2</f>
        <v>76.703999999999994</v>
      </c>
      <c r="J15" s="85"/>
      <c r="K15" s="86"/>
      <c r="L15" s="86"/>
      <c r="M15" s="86"/>
      <c r="N15" s="86"/>
      <c r="O15" s="86"/>
      <c r="P15" s="86"/>
      <c r="Q15" s="140"/>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row>
    <row r="16" spans="1:247" s="87" customFormat="1" ht="25.5" customHeight="1">
      <c r="A16" s="81">
        <f>+A15+1</f>
        <v>2</v>
      </c>
      <c r="B16" s="82" t="s">
        <v>63</v>
      </c>
      <c r="C16" s="82"/>
      <c r="D16" s="81" t="s">
        <v>9</v>
      </c>
      <c r="E16" s="83"/>
      <c r="F16" s="83"/>
      <c r="G16" s="84"/>
      <c r="H16" s="83"/>
      <c r="I16" s="84">
        <f>+I15</f>
        <v>76.703999999999994</v>
      </c>
      <c r="J16" s="85"/>
      <c r="K16" s="86"/>
      <c r="L16" s="86" t="e">
        <f>+#REF!+J16</f>
        <v>#REF!</v>
      </c>
      <c r="M16" s="86" t="e">
        <f>+I16*L16</f>
        <v>#REF!</v>
      </c>
      <c r="N16" s="86"/>
      <c r="O16" s="86"/>
      <c r="P16" s="86"/>
      <c r="Q16" s="140"/>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row>
    <row r="17" spans="1:247" s="87" customFormat="1" ht="25.5" customHeight="1">
      <c r="A17" s="81">
        <f t="shared" ref="A17:A19" si="0">+A16+1</f>
        <v>3</v>
      </c>
      <c r="B17" s="82" t="s">
        <v>64</v>
      </c>
      <c r="C17" s="82"/>
      <c r="D17" s="81" t="s">
        <v>67</v>
      </c>
      <c r="E17" s="83">
        <v>1</v>
      </c>
      <c r="F17" s="83"/>
      <c r="G17" s="84"/>
      <c r="H17" s="83"/>
      <c r="I17" s="84">
        <v>1</v>
      </c>
      <c r="J17" s="85"/>
      <c r="K17" s="86"/>
      <c r="L17" s="86"/>
      <c r="M17" s="86"/>
      <c r="N17" s="86"/>
      <c r="O17" s="86"/>
      <c r="P17" s="86"/>
      <c r="Q17" s="140"/>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row>
    <row r="18" spans="1:247" s="87" customFormat="1" ht="25.5" customHeight="1">
      <c r="A18" s="81">
        <f t="shared" si="0"/>
        <v>4</v>
      </c>
      <c r="B18" s="82" t="s">
        <v>65</v>
      </c>
      <c r="C18" s="82"/>
      <c r="D18" s="81" t="s">
        <v>11</v>
      </c>
      <c r="E18" s="83"/>
      <c r="F18" s="83"/>
      <c r="G18" s="84"/>
      <c r="H18" s="83"/>
      <c r="I18" s="84">
        <f>+'Thép Kết cấu'!J20</f>
        <v>3087.7323999999999</v>
      </c>
      <c r="J18" s="85"/>
      <c r="K18" s="86"/>
      <c r="L18" s="86"/>
      <c r="M18" s="86"/>
      <c r="N18" s="86"/>
      <c r="O18" s="86"/>
      <c r="P18" s="86"/>
      <c r="Q18" s="140"/>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row>
    <row r="19" spans="1:247" s="87" customFormat="1" ht="25.5" customHeight="1">
      <c r="A19" s="81">
        <f t="shared" si="0"/>
        <v>5</v>
      </c>
      <c r="B19" s="82" t="s">
        <v>66</v>
      </c>
      <c r="C19" s="82"/>
      <c r="D19" s="81" t="s">
        <v>11</v>
      </c>
      <c r="E19" s="83"/>
      <c r="F19" s="83"/>
      <c r="G19" s="84"/>
      <c r="H19" s="83"/>
      <c r="I19" s="84">
        <f>+'Thép Kết cấu'!J3</f>
        <v>2219.6690000000003</v>
      </c>
      <c r="J19" s="85"/>
      <c r="K19" s="86"/>
      <c r="L19" s="86"/>
      <c r="M19" s="86"/>
      <c r="N19" s="86"/>
      <c r="O19" s="86"/>
      <c r="P19" s="86"/>
      <c r="Q19" s="140"/>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row>
    <row r="20" spans="1:247" s="87" customFormat="1" ht="25.5" customHeight="1">
      <c r="A20" s="81" t="s">
        <v>166</v>
      </c>
      <c r="B20" s="82" t="s">
        <v>160</v>
      </c>
      <c r="C20" s="82"/>
      <c r="D20" s="81" t="s">
        <v>165</v>
      </c>
      <c r="E20" s="83"/>
      <c r="F20" s="83"/>
      <c r="G20" s="84"/>
      <c r="H20" s="83"/>
      <c r="I20" s="84">
        <f>+'Thép Kết cấu'!J17</f>
        <v>914.33999999999992</v>
      </c>
      <c r="J20" s="85"/>
      <c r="K20" s="86"/>
      <c r="L20" s="86"/>
      <c r="M20" s="86"/>
      <c r="N20" s="86"/>
      <c r="O20" s="86"/>
      <c r="P20" s="86"/>
      <c r="Q20" s="140"/>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row>
    <row r="21" spans="1:247" s="87" customFormat="1" ht="25.5" customHeight="1">
      <c r="A21" s="81">
        <f>+A19+1</f>
        <v>6</v>
      </c>
      <c r="B21" s="82" t="s">
        <v>110</v>
      </c>
      <c r="C21" s="82"/>
      <c r="D21" s="81" t="s">
        <v>9</v>
      </c>
      <c r="E21" s="83"/>
      <c r="F21" s="83"/>
      <c r="G21" s="84"/>
      <c r="H21" s="83"/>
      <c r="I21" s="84">
        <f>+SUM(I22:I26)</f>
        <v>127.6512</v>
      </c>
      <c r="J21" s="85"/>
      <c r="K21" s="86"/>
      <c r="L21" s="86"/>
      <c r="M21" s="86"/>
      <c r="N21" s="86"/>
      <c r="O21" s="86"/>
      <c r="P21" s="86"/>
      <c r="Q21" s="140"/>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row>
    <row r="22" spans="1:247" s="64" customFormat="1" outlineLevel="1">
      <c r="A22" s="90" t="s">
        <v>94</v>
      </c>
      <c r="B22" s="52" t="s">
        <v>82</v>
      </c>
      <c r="C22" s="52"/>
      <c r="D22" s="53"/>
      <c r="E22" s="54">
        <v>1</v>
      </c>
      <c r="F22" s="54">
        <f>18.8+1.2</f>
        <v>20</v>
      </c>
      <c r="G22" s="55">
        <v>3.2</v>
      </c>
      <c r="H22" s="54"/>
      <c r="I22" s="55">
        <f>PRODUCT(E22:H22)*1.2</f>
        <v>76.8</v>
      </c>
      <c r="J22" s="57"/>
      <c r="K22" s="63"/>
      <c r="L22" s="63"/>
      <c r="M22" s="63"/>
      <c r="N22" s="63"/>
      <c r="O22" s="63"/>
      <c r="P22" s="63"/>
      <c r="Q22" s="141"/>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3"/>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3"/>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row>
    <row r="23" spans="1:247" s="64" customFormat="1" ht="22.5" outlineLevel="1">
      <c r="A23" s="90" t="s">
        <v>95</v>
      </c>
      <c r="B23" s="52" t="s">
        <v>84</v>
      </c>
      <c r="C23" s="52"/>
      <c r="D23" s="53"/>
      <c r="E23" s="54">
        <v>-1</v>
      </c>
      <c r="F23" s="54">
        <v>2.39</v>
      </c>
      <c r="G23" s="55">
        <v>1.8</v>
      </c>
      <c r="H23" s="54"/>
      <c r="I23" s="55">
        <f>PRODUCT(E23:H23)*1.2</f>
        <v>-5.1624000000000008</v>
      </c>
      <c r="J23" s="57"/>
      <c r="K23" s="63"/>
      <c r="L23" s="63"/>
      <c r="M23" s="63"/>
      <c r="N23" s="63"/>
      <c r="O23" s="63"/>
      <c r="P23" s="63"/>
      <c r="Q23" s="141"/>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3"/>
      <c r="CK23" s="63"/>
      <c r="CL23" s="63"/>
      <c r="CM23" s="63"/>
      <c r="CN23" s="63"/>
      <c r="CO23" s="63"/>
      <c r="CP23" s="63"/>
      <c r="CQ23" s="63"/>
      <c r="CR23" s="63"/>
      <c r="CS23" s="63"/>
      <c r="CT23" s="63"/>
      <c r="CU23" s="63"/>
      <c r="CV23" s="63"/>
      <c r="CW23" s="63"/>
      <c r="CX23" s="63"/>
      <c r="CY23" s="63"/>
      <c r="CZ23" s="63"/>
      <c r="DA23" s="63"/>
      <c r="DB23" s="63"/>
      <c r="DC23" s="63"/>
      <c r="DD23" s="63"/>
      <c r="DE23" s="63"/>
      <c r="DF23" s="63"/>
      <c r="DG23" s="63"/>
      <c r="DH23" s="63"/>
      <c r="DI23" s="63"/>
      <c r="DJ23" s="63"/>
      <c r="DK23" s="63"/>
      <c r="DL23" s="63"/>
      <c r="DM23" s="63"/>
      <c r="DN23" s="63"/>
      <c r="DO23" s="63"/>
      <c r="DP23" s="63"/>
      <c r="DQ23" s="63"/>
      <c r="DR23" s="63"/>
      <c r="DS23" s="63"/>
      <c r="DT23" s="63"/>
      <c r="DU23" s="63"/>
      <c r="DV23" s="63"/>
      <c r="DW23" s="63"/>
      <c r="DX23" s="63"/>
      <c r="DY23" s="63"/>
      <c r="DZ23" s="63"/>
      <c r="EA23" s="63"/>
      <c r="EB23" s="63"/>
      <c r="EC23" s="63"/>
      <c r="ED23" s="63"/>
      <c r="EE23" s="63"/>
      <c r="EF23" s="63"/>
      <c r="EG23" s="63"/>
      <c r="EH23" s="63"/>
      <c r="EI23" s="63"/>
      <c r="EJ23" s="63"/>
      <c r="EK23" s="63"/>
      <c r="EL23" s="63"/>
      <c r="EM23" s="63"/>
      <c r="EN23" s="63"/>
      <c r="EO23" s="63"/>
      <c r="EP23" s="63"/>
      <c r="EQ23" s="63"/>
      <c r="ER23" s="63"/>
      <c r="ES23" s="63"/>
      <c r="ET23" s="63"/>
      <c r="EU23" s="63"/>
      <c r="EV23" s="63"/>
      <c r="EW23" s="63"/>
      <c r="EX23" s="63"/>
      <c r="EY23" s="63"/>
      <c r="EZ23" s="63"/>
      <c r="FA23" s="63"/>
      <c r="FB23" s="63"/>
      <c r="FC23" s="63"/>
      <c r="FD23" s="63"/>
      <c r="FE23" s="63"/>
      <c r="FF23" s="63"/>
      <c r="FG23" s="63"/>
      <c r="FH23" s="63"/>
      <c r="FI23" s="63"/>
      <c r="FJ23" s="63"/>
      <c r="FK23" s="63"/>
      <c r="FL23" s="63"/>
      <c r="FM23" s="63"/>
      <c r="FN23" s="63"/>
      <c r="FO23" s="63"/>
      <c r="FP23" s="63"/>
      <c r="FQ23" s="63"/>
      <c r="FR23" s="63"/>
      <c r="FS23" s="63"/>
      <c r="FT23" s="63"/>
      <c r="FU23" s="63"/>
      <c r="FV23" s="63"/>
      <c r="FW23" s="63"/>
      <c r="FX23" s="63"/>
      <c r="FY23" s="63"/>
      <c r="FZ23" s="63"/>
      <c r="GA23" s="63"/>
      <c r="GB23" s="63"/>
      <c r="GC23" s="63"/>
      <c r="GD23" s="63"/>
      <c r="GE23" s="63"/>
      <c r="GF23" s="63"/>
      <c r="GG23" s="63"/>
      <c r="GH23" s="63"/>
      <c r="GI23" s="63"/>
      <c r="GJ23" s="63"/>
      <c r="GK23" s="63"/>
      <c r="GL23" s="63"/>
      <c r="GM23" s="63"/>
      <c r="GN23" s="63"/>
      <c r="GO23" s="63"/>
      <c r="GP23" s="63"/>
      <c r="GQ23" s="63"/>
      <c r="GR23" s="63"/>
      <c r="GS23" s="63"/>
      <c r="GT23" s="63"/>
      <c r="GU23" s="63"/>
      <c r="GV23" s="63"/>
      <c r="GW23" s="63"/>
      <c r="GX23" s="63"/>
      <c r="GY23" s="63"/>
      <c r="GZ23" s="63"/>
      <c r="HA23" s="63"/>
      <c r="HB23" s="63"/>
      <c r="HC23" s="63"/>
      <c r="HD23" s="63"/>
      <c r="HE23" s="63"/>
      <c r="HF23" s="63"/>
      <c r="HG23" s="63"/>
      <c r="HH23" s="63"/>
      <c r="HI23" s="63"/>
      <c r="HJ23" s="63"/>
      <c r="HK23" s="63"/>
      <c r="HL23" s="63"/>
      <c r="HM23" s="63"/>
      <c r="HN23" s="63"/>
      <c r="HO23" s="63"/>
      <c r="HP23" s="63"/>
      <c r="HQ23" s="63"/>
      <c r="HR23" s="63"/>
      <c r="HS23" s="63"/>
      <c r="HT23" s="63"/>
      <c r="HU23" s="63"/>
      <c r="HV23" s="63"/>
      <c r="HW23" s="63"/>
      <c r="HX23" s="63"/>
      <c r="HY23" s="63"/>
      <c r="HZ23" s="63"/>
      <c r="IA23" s="63"/>
      <c r="IB23" s="63"/>
      <c r="IC23" s="63"/>
      <c r="ID23" s="63"/>
      <c r="IE23" s="63"/>
      <c r="IF23" s="63"/>
      <c r="IG23" s="63"/>
      <c r="IH23" s="63"/>
      <c r="II23" s="63"/>
      <c r="IJ23" s="63"/>
      <c r="IK23" s="63"/>
      <c r="IL23" s="63"/>
      <c r="IM23" s="63"/>
    </row>
    <row r="24" spans="1:247" s="64" customFormat="1" outlineLevel="1">
      <c r="A24" s="90" t="s">
        <v>96</v>
      </c>
      <c r="B24" s="52" t="s">
        <v>83</v>
      </c>
      <c r="C24" s="52"/>
      <c r="D24" s="53"/>
      <c r="E24" s="54">
        <v>1</v>
      </c>
      <c r="F24" s="54">
        <v>16.399999999999999</v>
      </c>
      <c r="G24" s="55">
        <v>3.2</v>
      </c>
      <c r="H24" s="54"/>
      <c r="I24" s="55">
        <f t="shared" ref="I24:I25" si="1">PRODUCT(E24:H24)*1.2</f>
        <v>62.975999999999992</v>
      </c>
      <c r="J24" s="57"/>
      <c r="K24" s="63"/>
      <c r="L24" s="63"/>
      <c r="M24" s="63"/>
      <c r="N24" s="63"/>
      <c r="O24" s="63"/>
      <c r="P24" s="63"/>
      <c r="Q24" s="141"/>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c r="EE24" s="63"/>
      <c r="EF24" s="63"/>
      <c r="EG24" s="63"/>
      <c r="EH24" s="63"/>
      <c r="EI24" s="63"/>
      <c r="EJ24" s="63"/>
      <c r="EK24" s="63"/>
      <c r="EL24" s="63"/>
      <c r="EM24" s="63"/>
      <c r="EN24" s="63"/>
      <c r="EO24" s="63"/>
      <c r="EP24" s="63"/>
      <c r="EQ24" s="63"/>
      <c r="ER24" s="63"/>
      <c r="ES24" s="63"/>
      <c r="ET24" s="63"/>
      <c r="EU24" s="63"/>
      <c r="EV24" s="63"/>
      <c r="EW24" s="63"/>
      <c r="EX24" s="63"/>
      <c r="EY24" s="63"/>
      <c r="EZ24" s="63"/>
      <c r="FA24" s="63"/>
      <c r="FB24" s="63"/>
      <c r="FC24" s="63"/>
      <c r="FD24" s="63"/>
      <c r="FE24" s="63"/>
      <c r="FF24" s="63"/>
      <c r="FG24" s="63"/>
      <c r="FH24" s="63"/>
      <c r="FI24" s="63"/>
      <c r="FJ24" s="63"/>
      <c r="FK24" s="63"/>
      <c r="FL24" s="63"/>
      <c r="FM24" s="63"/>
      <c r="FN24" s="63"/>
      <c r="FO24" s="63"/>
      <c r="FP24" s="63"/>
      <c r="FQ24" s="63"/>
      <c r="FR24" s="63"/>
      <c r="FS24" s="63"/>
      <c r="FT24" s="63"/>
      <c r="FU24" s="63"/>
      <c r="FV24" s="63"/>
      <c r="FW24" s="63"/>
      <c r="FX24" s="63"/>
      <c r="FY24" s="63"/>
      <c r="FZ24" s="63"/>
      <c r="GA24" s="63"/>
      <c r="GB24" s="63"/>
      <c r="GC24" s="63"/>
      <c r="GD24" s="63"/>
      <c r="GE24" s="63"/>
      <c r="GF24" s="63"/>
      <c r="GG24" s="63"/>
      <c r="GH24" s="63"/>
      <c r="GI24" s="63"/>
      <c r="GJ24" s="63"/>
      <c r="GK24" s="63"/>
      <c r="GL24" s="63"/>
      <c r="GM24" s="63"/>
      <c r="GN24" s="63"/>
      <c r="GO24" s="63"/>
      <c r="GP24" s="63"/>
      <c r="GQ24" s="63"/>
      <c r="GR24" s="63"/>
      <c r="GS24" s="63"/>
      <c r="GT24" s="63"/>
      <c r="GU24" s="63"/>
      <c r="GV24" s="63"/>
      <c r="GW24" s="63"/>
      <c r="GX24" s="63"/>
      <c r="GY24" s="63"/>
      <c r="GZ24" s="63"/>
      <c r="HA24" s="63"/>
      <c r="HB24" s="63"/>
      <c r="HC24" s="63"/>
      <c r="HD24" s="63"/>
      <c r="HE24" s="63"/>
      <c r="HF24" s="63"/>
      <c r="HG24" s="63"/>
      <c r="HH24" s="63"/>
      <c r="HI24" s="63"/>
      <c r="HJ24" s="63"/>
      <c r="HK24" s="63"/>
      <c r="HL24" s="63"/>
      <c r="HM24" s="63"/>
      <c r="HN24" s="63"/>
      <c r="HO24" s="63"/>
      <c r="HP24" s="63"/>
      <c r="HQ24" s="63"/>
      <c r="HR24" s="63"/>
      <c r="HS24" s="63"/>
      <c r="HT24" s="63"/>
      <c r="HU24" s="63"/>
      <c r="HV24" s="63"/>
      <c r="HW24" s="63"/>
      <c r="HX24" s="63"/>
      <c r="HY24" s="63"/>
      <c r="HZ24" s="63"/>
      <c r="IA24" s="63"/>
      <c r="IB24" s="63"/>
      <c r="IC24" s="63"/>
      <c r="ID24" s="63"/>
      <c r="IE24" s="63"/>
      <c r="IF24" s="63"/>
      <c r="IG24" s="63"/>
      <c r="IH24" s="63"/>
      <c r="II24" s="63"/>
      <c r="IJ24" s="63"/>
      <c r="IK24" s="63"/>
      <c r="IL24" s="63"/>
      <c r="IM24" s="63"/>
    </row>
    <row r="25" spans="1:247" s="64" customFormat="1" ht="22.5" outlineLevel="1">
      <c r="A25" s="90" t="s">
        <v>97</v>
      </c>
      <c r="B25" s="52" t="s">
        <v>85</v>
      </c>
      <c r="C25" s="52"/>
      <c r="D25" s="53"/>
      <c r="E25" s="54">
        <v>-1</v>
      </c>
      <c r="F25" s="54">
        <v>2.39</v>
      </c>
      <c r="G25" s="55">
        <v>1.8</v>
      </c>
      <c r="H25" s="54"/>
      <c r="I25" s="55">
        <f t="shared" si="1"/>
        <v>-5.1624000000000008</v>
      </c>
      <c r="J25" s="57"/>
      <c r="K25" s="63"/>
      <c r="L25" s="63"/>
      <c r="M25" s="63"/>
      <c r="N25" s="63"/>
      <c r="O25" s="63"/>
      <c r="P25" s="63"/>
      <c r="Q25" s="141"/>
      <c r="R25" s="63"/>
      <c r="S25" s="63"/>
      <c r="T25" s="63"/>
      <c r="U25" s="63"/>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3"/>
      <c r="DY25" s="63"/>
      <c r="DZ25" s="63"/>
      <c r="EA25" s="63"/>
      <c r="EB25" s="63"/>
      <c r="EC25" s="63"/>
      <c r="ED25" s="63"/>
      <c r="EE25" s="63"/>
      <c r="EF25" s="63"/>
      <c r="EG25" s="63"/>
      <c r="EH25" s="63"/>
      <c r="EI25" s="63"/>
      <c r="EJ25" s="63"/>
      <c r="EK25" s="63"/>
      <c r="EL25" s="63"/>
      <c r="EM25" s="63"/>
      <c r="EN25" s="63"/>
      <c r="EO25" s="63"/>
      <c r="EP25" s="63"/>
      <c r="EQ25" s="63"/>
      <c r="ER25" s="63"/>
      <c r="ES25" s="63"/>
      <c r="ET25" s="63"/>
      <c r="EU25" s="63"/>
      <c r="EV25" s="63"/>
      <c r="EW25" s="63"/>
      <c r="EX25" s="63"/>
      <c r="EY25" s="63"/>
      <c r="EZ25" s="63"/>
      <c r="FA25" s="63"/>
      <c r="FB25" s="63"/>
      <c r="FC25" s="63"/>
      <c r="FD25" s="63"/>
      <c r="FE25" s="63"/>
      <c r="FF25" s="63"/>
      <c r="FG25" s="63"/>
      <c r="FH25" s="63"/>
      <c r="FI25" s="63"/>
      <c r="FJ25" s="63"/>
      <c r="FK25" s="63"/>
      <c r="FL25" s="63"/>
      <c r="FM25" s="63"/>
      <c r="FN25" s="63"/>
      <c r="FO25" s="63"/>
      <c r="FP25" s="63"/>
      <c r="FQ25" s="63"/>
      <c r="FR25" s="63"/>
      <c r="FS25" s="63"/>
      <c r="FT25" s="63"/>
      <c r="FU25" s="63"/>
      <c r="FV25" s="63"/>
      <c r="FW25" s="63"/>
      <c r="FX25" s="63"/>
      <c r="FY25" s="63"/>
      <c r="FZ25" s="63"/>
      <c r="GA25" s="63"/>
      <c r="GB25" s="63"/>
      <c r="GC25" s="63"/>
      <c r="GD25" s="63"/>
      <c r="GE25" s="63"/>
      <c r="GF25" s="63"/>
      <c r="GG25" s="63"/>
      <c r="GH25" s="63"/>
      <c r="GI25" s="63"/>
      <c r="GJ25" s="63"/>
      <c r="GK25" s="63"/>
      <c r="GL25" s="63"/>
      <c r="GM25" s="63"/>
      <c r="GN25" s="63"/>
      <c r="GO25" s="63"/>
      <c r="GP25" s="63"/>
      <c r="GQ25" s="63"/>
      <c r="GR25" s="63"/>
      <c r="GS25" s="63"/>
      <c r="GT25" s="63"/>
      <c r="GU25" s="63"/>
      <c r="GV25" s="63"/>
      <c r="GW25" s="63"/>
      <c r="GX25" s="63"/>
      <c r="GY25" s="63"/>
      <c r="GZ25" s="63"/>
      <c r="HA25" s="63"/>
      <c r="HB25" s="63"/>
      <c r="HC25" s="63"/>
      <c r="HD25" s="63"/>
      <c r="HE25" s="63"/>
      <c r="HF25" s="63"/>
      <c r="HG25" s="63"/>
      <c r="HH25" s="63"/>
      <c r="HI25" s="63"/>
      <c r="HJ25" s="63"/>
      <c r="HK25" s="63"/>
      <c r="HL25" s="63"/>
      <c r="HM25" s="63"/>
      <c r="HN25" s="63"/>
      <c r="HO25" s="63"/>
      <c r="HP25" s="63"/>
      <c r="HQ25" s="63"/>
      <c r="HR25" s="63"/>
      <c r="HS25" s="63"/>
      <c r="HT25" s="63"/>
      <c r="HU25" s="63"/>
      <c r="HV25" s="63"/>
      <c r="HW25" s="63"/>
      <c r="HX25" s="63"/>
      <c r="HY25" s="63"/>
      <c r="HZ25" s="63"/>
      <c r="IA25" s="63"/>
      <c r="IB25" s="63"/>
      <c r="IC25" s="63"/>
      <c r="ID25" s="63"/>
      <c r="IE25" s="63"/>
      <c r="IF25" s="63"/>
      <c r="IG25" s="63"/>
      <c r="IH25" s="63"/>
      <c r="II25" s="63"/>
      <c r="IJ25" s="63"/>
      <c r="IK25" s="63"/>
      <c r="IL25" s="63"/>
      <c r="IM25" s="63"/>
    </row>
    <row r="26" spans="1:247" s="64" customFormat="1" outlineLevel="1">
      <c r="A26" s="90" t="s">
        <v>98</v>
      </c>
      <c r="B26" s="52" t="s">
        <v>121</v>
      </c>
      <c r="C26" s="52"/>
      <c r="D26" s="53"/>
      <c r="E26" s="54">
        <v>-1</v>
      </c>
      <c r="F26" s="54">
        <v>1.5</v>
      </c>
      <c r="G26" s="55">
        <v>1</v>
      </c>
      <c r="H26" s="54"/>
      <c r="I26" s="55">
        <f t="shared" ref="I26" si="2">PRODUCT(E26:H26)*1.2</f>
        <v>-1.7999999999999998</v>
      </c>
      <c r="J26" s="57"/>
      <c r="K26" s="63"/>
      <c r="L26" s="63"/>
      <c r="M26" s="63"/>
      <c r="N26" s="63"/>
      <c r="O26" s="63"/>
      <c r="P26" s="63"/>
      <c r="Q26" s="141"/>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3"/>
      <c r="BS26" s="63"/>
      <c r="BT26" s="63"/>
      <c r="BU26" s="63"/>
      <c r="BV26" s="63"/>
      <c r="BW26" s="63"/>
      <c r="BX26" s="63"/>
      <c r="BY26" s="63"/>
      <c r="BZ26" s="63"/>
      <c r="CA26" s="63"/>
      <c r="CB26" s="63"/>
      <c r="CC26" s="63"/>
      <c r="CD26" s="63"/>
      <c r="CE26" s="63"/>
      <c r="CF26" s="63"/>
      <c r="CG26" s="63"/>
      <c r="CH26" s="63"/>
      <c r="CI26" s="63"/>
      <c r="CJ26" s="63"/>
      <c r="CK26" s="63"/>
      <c r="CL26" s="63"/>
      <c r="CM26" s="63"/>
      <c r="CN26" s="63"/>
      <c r="CO26" s="63"/>
      <c r="CP26" s="63"/>
      <c r="CQ26" s="63"/>
      <c r="CR26" s="63"/>
      <c r="CS26" s="63"/>
      <c r="CT26" s="63"/>
      <c r="CU26" s="63"/>
      <c r="CV26" s="63"/>
      <c r="CW26" s="63"/>
      <c r="CX26" s="63"/>
      <c r="CY26" s="63"/>
      <c r="CZ26" s="63"/>
      <c r="DA26" s="63"/>
      <c r="DB26" s="63"/>
      <c r="DC26" s="63"/>
      <c r="DD26" s="63"/>
      <c r="DE26" s="63"/>
      <c r="DF26" s="63"/>
      <c r="DG26" s="63"/>
      <c r="DH26" s="63"/>
      <c r="DI26" s="63"/>
      <c r="DJ26" s="63"/>
      <c r="DK26" s="63"/>
      <c r="DL26" s="63"/>
      <c r="DM26" s="63"/>
      <c r="DN26" s="63"/>
      <c r="DO26" s="63"/>
      <c r="DP26" s="63"/>
      <c r="DQ26" s="63"/>
      <c r="DR26" s="63"/>
      <c r="DS26" s="63"/>
      <c r="DT26" s="63"/>
      <c r="DU26" s="63"/>
      <c r="DV26" s="63"/>
      <c r="DW26" s="63"/>
      <c r="DX26" s="63"/>
      <c r="DY26" s="63"/>
      <c r="DZ26" s="63"/>
      <c r="EA26" s="63"/>
      <c r="EB26" s="63"/>
      <c r="EC26" s="63"/>
      <c r="ED26" s="63"/>
      <c r="EE26" s="63"/>
      <c r="EF26" s="63"/>
      <c r="EG26" s="63"/>
      <c r="EH26" s="63"/>
      <c r="EI26" s="63"/>
      <c r="EJ26" s="63"/>
      <c r="EK26" s="63"/>
      <c r="EL26" s="63"/>
      <c r="EM26" s="63"/>
      <c r="EN26" s="63"/>
      <c r="EO26" s="63"/>
      <c r="EP26" s="63"/>
      <c r="EQ26" s="63"/>
      <c r="ER26" s="63"/>
      <c r="ES26" s="63"/>
      <c r="ET26" s="63"/>
      <c r="EU26" s="63"/>
      <c r="EV26" s="63"/>
      <c r="EW26" s="63"/>
      <c r="EX26" s="63"/>
      <c r="EY26" s="63"/>
      <c r="EZ26" s="63"/>
      <c r="FA26" s="63"/>
      <c r="FB26" s="63"/>
      <c r="FC26" s="63"/>
      <c r="FD26" s="63"/>
      <c r="FE26" s="63"/>
      <c r="FF26" s="63"/>
      <c r="FG26" s="63"/>
      <c r="FH26" s="63"/>
      <c r="FI26" s="63"/>
      <c r="FJ26" s="63"/>
      <c r="FK26" s="63"/>
      <c r="FL26" s="63"/>
      <c r="FM26" s="63"/>
      <c r="FN26" s="63"/>
      <c r="FO26" s="63"/>
      <c r="FP26" s="63"/>
      <c r="FQ26" s="63"/>
      <c r="FR26" s="63"/>
      <c r="FS26" s="63"/>
      <c r="FT26" s="63"/>
      <c r="FU26" s="63"/>
      <c r="FV26" s="63"/>
      <c r="FW26" s="63"/>
      <c r="FX26" s="63"/>
      <c r="FY26" s="63"/>
      <c r="FZ26" s="63"/>
      <c r="GA26" s="63"/>
      <c r="GB26" s="63"/>
      <c r="GC26" s="63"/>
      <c r="GD26" s="63"/>
      <c r="GE26" s="63"/>
      <c r="GF26" s="63"/>
      <c r="GG26" s="63"/>
      <c r="GH26" s="63"/>
      <c r="GI26" s="63"/>
      <c r="GJ26" s="63"/>
      <c r="GK26" s="63"/>
      <c r="GL26" s="63"/>
      <c r="GM26" s="63"/>
      <c r="GN26" s="63"/>
      <c r="GO26" s="63"/>
      <c r="GP26" s="63"/>
      <c r="GQ26" s="63"/>
      <c r="GR26" s="63"/>
      <c r="GS26" s="63"/>
      <c r="GT26" s="63"/>
      <c r="GU26" s="63"/>
      <c r="GV26" s="63"/>
      <c r="GW26" s="63"/>
      <c r="GX26" s="63"/>
      <c r="GY26" s="63"/>
      <c r="GZ26" s="63"/>
      <c r="HA26" s="63"/>
      <c r="HB26" s="63"/>
      <c r="HC26" s="63"/>
      <c r="HD26" s="63"/>
      <c r="HE26" s="63"/>
      <c r="HF26" s="63"/>
      <c r="HG26" s="63"/>
      <c r="HH26" s="63"/>
      <c r="HI26" s="63"/>
      <c r="HJ26" s="63"/>
      <c r="HK26" s="63"/>
      <c r="HL26" s="63"/>
      <c r="HM26" s="63"/>
      <c r="HN26" s="63"/>
      <c r="HO26" s="63"/>
      <c r="HP26" s="63"/>
      <c r="HQ26" s="63"/>
      <c r="HR26" s="63"/>
      <c r="HS26" s="63"/>
      <c r="HT26" s="63"/>
      <c r="HU26" s="63"/>
      <c r="HV26" s="63"/>
      <c r="HW26" s="63"/>
      <c r="HX26" s="63"/>
      <c r="HY26" s="63"/>
      <c r="HZ26" s="63"/>
      <c r="IA26" s="63"/>
      <c r="IB26" s="63"/>
      <c r="IC26" s="63"/>
      <c r="ID26" s="63"/>
      <c r="IE26" s="63"/>
      <c r="IF26" s="63"/>
      <c r="IG26" s="63"/>
      <c r="IH26" s="63"/>
      <c r="II26" s="63"/>
      <c r="IJ26" s="63"/>
      <c r="IK26" s="63"/>
      <c r="IL26" s="63"/>
      <c r="IM26" s="63"/>
    </row>
    <row r="27" spans="1:247" s="87" customFormat="1">
      <c r="A27" s="81">
        <f>+A21+1</f>
        <v>7</v>
      </c>
      <c r="B27" s="82" t="s">
        <v>71</v>
      </c>
      <c r="C27" s="82"/>
      <c r="D27" s="81" t="s">
        <v>72</v>
      </c>
      <c r="E27" s="83">
        <f>+'Thép Kết cấu'!J32</f>
        <v>216</v>
      </c>
      <c r="F27" s="83"/>
      <c r="G27" s="84"/>
      <c r="H27" s="83"/>
      <c r="I27" s="84">
        <f>+E27</f>
        <v>216</v>
      </c>
      <c r="J27" s="85"/>
      <c r="K27" s="86"/>
      <c r="L27" s="86"/>
      <c r="M27" s="86"/>
      <c r="N27" s="86"/>
      <c r="O27" s="86"/>
      <c r="P27" s="86"/>
      <c r="Q27" s="140"/>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row>
    <row r="28" spans="1:247" s="97" customFormat="1" ht="11.25">
      <c r="A28" s="81">
        <f>+A27+1</f>
        <v>8</v>
      </c>
      <c r="B28" s="82" t="s">
        <v>106</v>
      </c>
      <c r="C28" s="82"/>
      <c r="D28" s="81" t="s">
        <v>67</v>
      </c>
      <c r="E28" s="83"/>
      <c r="F28" s="83"/>
      <c r="G28" s="84"/>
      <c r="H28" s="83"/>
      <c r="I28" s="84">
        <v>1</v>
      </c>
      <c r="J28" s="85"/>
      <c r="K28" s="96"/>
      <c r="L28" s="96"/>
      <c r="M28" s="96"/>
      <c r="N28" s="96"/>
      <c r="O28" s="96"/>
      <c r="P28" s="96"/>
      <c r="Q28" s="142"/>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c r="BM28" s="96"/>
      <c r="BN28" s="96"/>
      <c r="BO28" s="96"/>
      <c r="BP28" s="96"/>
      <c r="BQ28" s="96"/>
      <c r="BR28" s="96"/>
      <c r="BS28" s="96"/>
      <c r="BT28" s="96"/>
      <c r="BU28" s="96"/>
      <c r="BV28" s="96"/>
      <c r="BW28" s="96"/>
      <c r="BX28" s="96"/>
      <c r="BY28" s="96"/>
      <c r="BZ28" s="96"/>
      <c r="CA28" s="96"/>
      <c r="CB28" s="96"/>
      <c r="CC28" s="96"/>
      <c r="CD28" s="96"/>
      <c r="CE28" s="96"/>
      <c r="CF28" s="96"/>
      <c r="CG28" s="96"/>
      <c r="CH28" s="96"/>
      <c r="CI28" s="96"/>
      <c r="CJ28" s="96"/>
      <c r="CK28" s="96"/>
      <c r="CL28" s="96"/>
      <c r="CM28" s="96"/>
      <c r="CN28" s="96"/>
      <c r="CO28" s="96"/>
      <c r="CP28" s="96"/>
      <c r="CQ28" s="96"/>
      <c r="CR28" s="96"/>
      <c r="CS28" s="96"/>
      <c r="CT28" s="96"/>
      <c r="CU28" s="96"/>
      <c r="CV28" s="96"/>
      <c r="CW28" s="96"/>
      <c r="CX28" s="96"/>
      <c r="CY28" s="96"/>
      <c r="CZ28" s="96"/>
      <c r="DA28" s="96"/>
      <c r="DB28" s="96"/>
      <c r="DC28" s="96"/>
      <c r="DD28" s="96"/>
      <c r="DE28" s="96"/>
      <c r="DF28" s="96"/>
      <c r="DG28" s="96"/>
      <c r="DH28" s="96"/>
      <c r="DI28" s="96"/>
      <c r="DJ28" s="96"/>
      <c r="DK28" s="96"/>
      <c r="DL28" s="96"/>
      <c r="DM28" s="96"/>
      <c r="DN28" s="96"/>
      <c r="DO28" s="96"/>
      <c r="DP28" s="96"/>
      <c r="DQ28" s="96"/>
      <c r="DR28" s="96"/>
      <c r="DS28" s="96"/>
      <c r="DT28" s="96"/>
      <c r="DU28" s="96"/>
      <c r="DV28" s="96"/>
      <c r="DW28" s="96"/>
      <c r="DX28" s="96"/>
      <c r="DY28" s="96"/>
      <c r="DZ28" s="96"/>
      <c r="EA28" s="96"/>
      <c r="EB28" s="96"/>
      <c r="EC28" s="96"/>
      <c r="ED28" s="96"/>
      <c r="EE28" s="96"/>
      <c r="EF28" s="96"/>
      <c r="EG28" s="96"/>
      <c r="EH28" s="96"/>
      <c r="EI28" s="96"/>
      <c r="EJ28" s="96"/>
      <c r="EK28" s="96"/>
      <c r="EL28" s="96"/>
      <c r="EM28" s="96"/>
      <c r="EN28" s="96"/>
      <c r="EO28" s="96"/>
      <c r="EP28" s="96"/>
      <c r="EQ28" s="96"/>
      <c r="ER28" s="96"/>
      <c r="ES28" s="96"/>
      <c r="ET28" s="96"/>
      <c r="EU28" s="96"/>
      <c r="EV28" s="96"/>
      <c r="EW28" s="96"/>
      <c r="EX28" s="96"/>
      <c r="EY28" s="96"/>
      <c r="EZ28" s="96"/>
      <c r="FA28" s="96"/>
      <c r="FB28" s="96"/>
      <c r="FC28" s="96"/>
      <c r="FD28" s="96"/>
      <c r="FE28" s="96"/>
      <c r="FF28" s="96"/>
      <c r="FG28" s="96"/>
      <c r="FH28" s="96"/>
      <c r="FI28" s="96"/>
      <c r="FJ28" s="96"/>
      <c r="FK28" s="96"/>
      <c r="FL28" s="96"/>
      <c r="FM28" s="96"/>
      <c r="FN28" s="96"/>
      <c r="FO28" s="96"/>
      <c r="FP28" s="96"/>
      <c r="FQ28" s="96"/>
      <c r="FR28" s="96"/>
      <c r="FS28" s="96"/>
      <c r="FT28" s="96"/>
      <c r="FU28" s="96"/>
      <c r="FV28" s="96"/>
      <c r="FW28" s="96"/>
      <c r="FX28" s="96"/>
      <c r="FY28" s="96"/>
      <c r="FZ28" s="96"/>
      <c r="GA28" s="96"/>
      <c r="GB28" s="96"/>
      <c r="GC28" s="96"/>
      <c r="GD28" s="96"/>
      <c r="GE28" s="96"/>
      <c r="GF28" s="96"/>
      <c r="GG28" s="96"/>
      <c r="GH28" s="96"/>
      <c r="GI28" s="96"/>
      <c r="GJ28" s="96"/>
      <c r="GK28" s="96"/>
      <c r="GL28" s="96"/>
      <c r="GM28" s="96"/>
      <c r="GN28" s="96"/>
      <c r="GO28" s="96"/>
      <c r="GP28" s="96"/>
      <c r="GQ28" s="96"/>
      <c r="GR28" s="96"/>
      <c r="GS28" s="96"/>
      <c r="GT28" s="96"/>
      <c r="GU28" s="96"/>
      <c r="GV28" s="96"/>
      <c r="GW28" s="96"/>
      <c r="GX28" s="96"/>
      <c r="GY28" s="96"/>
      <c r="GZ28" s="96"/>
      <c r="HA28" s="96"/>
      <c r="HB28" s="96"/>
      <c r="HC28" s="96"/>
      <c r="HD28" s="96"/>
      <c r="HE28" s="96"/>
      <c r="HF28" s="96"/>
      <c r="HG28" s="96"/>
      <c r="HH28" s="96"/>
      <c r="HI28" s="96"/>
      <c r="HJ28" s="96"/>
      <c r="HK28" s="96"/>
      <c r="HL28" s="96"/>
      <c r="HM28" s="96"/>
      <c r="HN28" s="96"/>
      <c r="HO28" s="96"/>
      <c r="HP28" s="96"/>
      <c r="HQ28" s="96"/>
      <c r="HR28" s="96"/>
      <c r="HS28" s="96"/>
      <c r="HT28" s="96"/>
      <c r="HU28" s="96"/>
      <c r="HV28" s="96"/>
      <c r="HW28" s="96"/>
      <c r="HX28" s="96"/>
      <c r="HY28" s="96"/>
      <c r="HZ28" s="96"/>
      <c r="IA28" s="96"/>
      <c r="IB28" s="96"/>
      <c r="IC28" s="96"/>
      <c r="ID28" s="96"/>
      <c r="IE28" s="96"/>
      <c r="IF28" s="96"/>
      <c r="IG28" s="96"/>
      <c r="IH28" s="96"/>
      <c r="II28" s="96"/>
      <c r="IJ28" s="96"/>
      <c r="IK28" s="96"/>
      <c r="IL28" s="96"/>
      <c r="IM28" s="96"/>
    </row>
    <row r="29" spans="1:247" s="97" customFormat="1" ht="11.25">
      <c r="A29" s="81">
        <f t="shared" ref="A29" si="3">+A28+1</f>
        <v>9</v>
      </c>
      <c r="B29" s="82" t="s">
        <v>107</v>
      </c>
      <c r="C29" s="82"/>
      <c r="D29" s="81" t="s">
        <v>67</v>
      </c>
      <c r="E29" s="83"/>
      <c r="F29" s="83"/>
      <c r="G29" s="84"/>
      <c r="H29" s="83"/>
      <c r="I29" s="84">
        <v>1</v>
      </c>
      <c r="J29" s="85"/>
      <c r="K29" s="96"/>
      <c r="L29" s="96"/>
      <c r="M29" s="96"/>
      <c r="N29" s="96"/>
      <c r="O29" s="96"/>
      <c r="P29" s="96"/>
      <c r="Q29" s="142"/>
      <c r="R29" s="9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c r="AT29" s="96"/>
      <c r="AU29" s="96"/>
      <c r="AV29" s="96"/>
      <c r="AW29" s="96"/>
      <c r="AX29" s="96"/>
      <c r="AY29" s="96"/>
      <c r="AZ29" s="96"/>
      <c r="BA29" s="96"/>
      <c r="BB29" s="96"/>
      <c r="BC29" s="96"/>
      <c r="BD29" s="96"/>
      <c r="BE29" s="96"/>
      <c r="BF29" s="96"/>
      <c r="BG29" s="96"/>
      <c r="BH29" s="96"/>
      <c r="BI29" s="96"/>
      <c r="BJ29" s="96"/>
      <c r="BK29" s="96"/>
      <c r="BL29" s="96"/>
      <c r="BM29" s="96"/>
      <c r="BN29" s="96"/>
      <c r="BO29" s="96"/>
      <c r="BP29" s="96"/>
      <c r="BQ29" s="96"/>
      <c r="BR29" s="96"/>
      <c r="BS29" s="96"/>
      <c r="BT29" s="96"/>
      <c r="BU29" s="96"/>
      <c r="BV29" s="96"/>
      <c r="BW29" s="96"/>
      <c r="BX29" s="96"/>
      <c r="BY29" s="96"/>
      <c r="BZ29" s="96"/>
      <c r="CA29" s="96"/>
      <c r="CB29" s="96"/>
      <c r="CC29" s="96"/>
      <c r="CD29" s="96"/>
      <c r="CE29" s="96"/>
      <c r="CF29" s="96"/>
      <c r="CG29" s="96"/>
      <c r="CH29" s="96"/>
      <c r="CI29" s="96"/>
      <c r="CJ29" s="96"/>
      <c r="CK29" s="96"/>
      <c r="CL29" s="96"/>
      <c r="CM29" s="96"/>
      <c r="CN29" s="96"/>
      <c r="CO29" s="96"/>
      <c r="CP29" s="96"/>
      <c r="CQ29" s="96"/>
      <c r="CR29" s="96"/>
      <c r="CS29" s="96"/>
      <c r="CT29" s="96"/>
      <c r="CU29" s="96"/>
      <c r="CV29" s="96"/>
      <c r="CW29" s="96"/>
      <c r="CX29" s="96"/>
      <c r="CY29" s="96"/>
      <c r="CZ29" s="96"/>
      <c r="DA29" s="96"/>
      <c r="DB29" s="96"/>
      <c r="DC29" s="96"/>
      <c r="DD29" s="96"/>
      <c r="DE29" s="96"/>
      <c r="DF29" s="96"/>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c r="FF29" s="96"/>
      <c r="FG29" s="96"/>
      <c r="FH29" s="96"/>
      <c r="FI29" s="96"/>
      <c r="FJ29" s="96"/>
      <c r="FK29" s="96"/>
      <c r="FL29" s="96"/>
      <c r="FM29" s="96"/>
      <c r="FN29" s="96"/>
      <c r="FO29" s="96"/>
      <c r="FP29" s="96"/>
      <c r="FQ29" s="96"/>
      <c r="FR29" s="96"/>
      <c r="FS29" s="96"/>
      <c r="FT29" s="96"/>
      <c r="FU29" s="96"/>
      <c r="FV29" s="96"/>
      <c r="FW29" s="96"/>
      <c r="FX29" s="96"/>
      <c r="FY29" s="96"/>
      <c r="FZ29" s="96"/>
      <c r="GA29" s="96"/>
      <c r="GB29" s="96"/>
      <c r="GC29" s="96"/>
      <c r="GD29" s="96"/>
      <c r="GE29" s="96"/>
      <c r="GF29" s="96"/>
      <c r="GG29" s="96"/>
      <c r="GH29" s="96"/>
      <c r="GI29" s="96"/>
      <c r="GJ29" s="96"/>
      <c r="GK29" s="96"/>
      <c r="GL29" s="96"/>
      <c r="GM29" s="96"/>
      <c r="GN29" s="96"/>
      <c r="GO29" s="96"/>
      <c r="GP29" s="96"/>
      <c r="GQ29" s="96"/>
      <c r="GR29" s="96"/>
      <c r="GS29" s="96"/>
      <c r="GT29" s="96"/>
      <c r="GU29" s="96"/>
      <c r="GV29" s="96"/>
      <c r="GW29" s="96"/>
      <c r="GX29" s="96"/>
      <c r="GY29" s="96"/>
      <c r="GZ29" s="96"/>
      <c r="HA29" s="96"/>
      <c r="HB29" s="96"/>
      <c r="HC29" s="96"/>
      <c r="HD29" s="96"/>
      <c r="HE29" s="96"/>
      <c r="HF29" s="96"/>
      <c r="HG29" s="96"/>
      <c r="HH29" s="96"/>
      <c r="HI29" s="96"/>
      <c r="HJ29" s="96"/>
      <c r="HK29" s="96"/>
      <c r="HL29" s="96"/>
      <c r="HM29" s="96"/>
      <c r="HN29" s="96"/>
      <c r="HO29" s="96"/>
      <c r="HP29" s="96"/>
      <c r="HQ29" s="96"/>
      <c r="HR29" s="96"/>
      <c r="HS29" s="96"/>
      <c r="HT29" s="96"/>
      <c r="HU29" s="96"/>
      <c r="HV29" s="96"/>
      <c r="HW29" s="96"/>
      <c r="HX29" s="96"/>
      <c r="HY29" s="96"/>
      <c r="HZ29" s="96"/>
      <c r="IA29" s="96"/>
      <c r="IB29" s="96"/>
      <c r="IC29" s="96"/>
      <c r="ID29" s="96"/>
      <c r="IE29" s="96"/>
      <c r="IF29" s="96"/>
      <c r="IG29" s="96"/>
      <c r="IH29" s="96"/>
      <c r="II29" s="96"/>
      <c r="IJ29" s="96"/>
      <c r="IK29" s="96"/>
      <c r="IL29" s="96"/>
      <c r="IM29" s="96"/>
    </row>
    <row r="30" spans="1:247" s="71" customFormat="1" ht="23.25" customHeight="1">
      <c r="A30" s="65" t="s">
        <v>147</v>
      </c>
      <c r="B30" s="88" t="s">
        <v>128</v>
      </c>
      <c r="C30" s="66"/>
      <c r="D30" s="114" t="s">
        <v>9</v>
      </c>
      <c r="E30" s="68">
        <v>1</v>
      </c>
      <c r="F30" s="68">
        <f>6.85*2</f>
        <v>13.7</v>
      </c>
      <c r="G30" s="69">
        <v>3.4</v>
      </c>
      <c r="H30" s="98"/>
      <c r="I30" s="67">
        <f>+PRODUCT(E30:H30)</f>
        <v>46.58</v>
      </c>
      <c r="J30" s="99"/>
      <c r="K30" s="70"/>
      <c r="L30" s="70"/>
      <c r="M30" s="70"/>
      <c r="N30" s="70"/>
      <c r="O30" s="70"/>
      <c r="P30" s="70"/>
      <c r="Q30" s="143"/>
      <c r="R30" s="70"/>
      <c r="S30" s="70"/>
      <c r="T30" s="70"/>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row>
    <row r="31" spans="1:247" s="97" customFormat="1" ht="11.25">
      <c r="A31" s="81">
        <f>+A29+1</f>
        <v>10</v>
      </c>
      <c r="B31" s="82" t="s">
        <v>115</v>
      </c>
      <c r="C31" s="82"/>
      <c r="D31" s="81" t="s">
        <v>9</v>
      </c>
      <c r="E31" s="83">
        <v>1</v>
      </c>
      <c r="F31" s="83">
        <f>18.8+1.2</f>
        <v>20</v>
      </c>
      <c r="G31" s="84">
        <v>2.8</v>
      </c>
      <c r="H31" s="83"/>
      <c r="I31" s="84">
        <f>+SUM(I32:I39)</f>
        <v>436.07999999999993</v>
      </c>
      <c r="J31" s="85"/>
      <c r="K31" s="96"/>
      <c r="L31" s="96"/>
      <c r="M31" s="96"/>
      <c r="N31" s="96"/>
      <c r="O31" s="96"/>
      <c r="P31" s="96"/>
      <c r="Q31" s="142"/>
      <c r="R31" s="96"/>
      <c r="S31" s="96"/>
      <c r="T31" s="96"/>
      <c r="U31" s="96"/>
      <c r="V31" s="96"/>
      <c r="W31" s="96"/>
      <c r="X31" s="96"/>
      <c r="Y31" s="96"/>
      <c r="Z31" s="96"/>
      <c r="AA31" s="96"/>
      <c r="AB31" s="96"/>
      <c r="AC31" s="96"/>
      <c r="AD31" s="96"/>
      <c r="AE31" s="96"/>
      <c r="AF31" s="96"/>
      <c r="AG31" s="96"/>
      <c r="AH31" s="96"/>
      <c r="AI31" s="96"/>
      <c r="AJ31" s="96"/>
      <c r="AK31" s="96"/>
      <c r="AL31" s="96"/>
      <c r="AM31" s="96"/>
      <c r="AN31" s="96"/>
      <c r="AO31" s="96"/>
      <c r="AP31" s="96"/>
      <c r="AQ31" s="96"/>
      <c r="AR31" s="96"/>
      <c r="AS31" s="96"/>
      <c r="AT31" s="96"/>
      <c r="AU31" s="96"/>
      <c r="AV31" s="96"/>
      <c r="AW31" s="96"/>
      <c r="AX31" s="96"/>
      <c r="AY31" s="96"/>
      <c r="AZ31" s="96"/>
      <c r="BA31" s="96"/>
      <c r="BB31" s="96"/>
      <c r="BC31" s="96"/>
      <c r="BD31" s="96"/>
      <c r="BE31" s="96"/>
      <c r="BF31" s="96"/>
      <c r="BG31" s="96"/>
      <c r="BH31" s="96"/>
      <c r="BI31" s="96"/>
      <c r="BJ31" s="96"/>
      <c r="BK31" s="96"/>
      <c r="BL31" s="96"/>
      <c r="BM31" s="96"/>
      <c r="BN31" s="96"/>
      <c r="BO31" s="96"/>
      <c r="BP31" s="96"/>
      <c r="BQ31" s="96"/>
      <c r="BR31" s="96"/>
      <c r="BS31" s="96"/>
      <c r="BT31" s="96"/>
      <c r="BU31" s="96"/>
      <c r="BV31" s="96"/>
      <c r="BW31" s="96"/>
      <c r="BX31" s="96"/>
      <c r="BY31" s="96"/>
      <c r="BZ31" s="96"/>
      <c r="CA31" s="96"/>
      <c r="CB31" s="96"/>
      <c r="CC31" s="96"/>
      <c r="CD31" s="96"/>
      <c r="CE31" s="96"/>
      <c r="CF31" s="96"/>
      <c r="CG31" s="96"/>
      <c r="CH31" s="96"/>
      <c r="CI31" s="96"/>
      <c r="CJ31" s="96"/>
      <c r="CK31" s="96"/>
      <c r="CL31" s="96"/>
      <c r="CM31" s="96"/>
      <c r="CN31" s="96"/>
      <c r="CO31" s="96"/>
      <c r="CP31" s="96"/>
      <c r="CQ31" s="96"/>
      <c r="CR31" s="96"/>
      <c r="CS31" s="96"/>
      <c r="CT31" s="96"/>
      <c r="CU31" s="96"/>
      <c r="CV31" s="96"/>
      <c r="CW31" s="96"/>
      <c r="CX31" s="96"/>
      <c r="CY31" s="96"/>
      <c r="CZ31" s="96"/>
      <c r="DA31" s="96"/>
      <c r="DB31" s="96"/>
      <c r="DC31" s="96"/>
      <c r="DD31" s="96"/>
      <c r="DE31" s="96"/>
      <c r="DF31" s="96"/>
      <c r="DG31" s="96"/>
      <c r="DH31" s="96"/>
      <c r="DI31" s="96"/>
      <c r="DJ31" s="96"/>
      <c r="DK31" s="96"/>
      <c r="DL31" s="96"/>
      <c r="DM31" s="96"/>
      <c r="DN31" s="96"/>
      <c r="DO31" s="96"/>
      <c r="DP31" s="96"/>
      <c r="DQ31" s="96"/>
      <c r="DR31" s="96"/>
      <c r="DS31" s="96"/>
      <c r="DT31" s="96"/>
      <c r="DU31" s="96"/>
      <c r="DV31" s="96"/>
      <c r="DW31" s="96"/>
      <c r="DX31" s="96"/>
      <c r="DY31" s="96"/>
      <c r="DZ31" s="96"/>
      <c r="EA31" s="96"/>
      <c r="EB31" s="96"/>
      <c r="EC31" s="96"/>
      <c r="ED31" s="96"/>
      <c r="EE31" s="96"/>
      <c r="EF31" s="96"/>
      <c r="EG31" s="96"/>
      <c r="EH31" s="96"/>
      <c r="EI31" s="96"/>
      <c r="EJ31" s="96"/>
      <c r="EK31" s="96"/>
      <c r="EL31" s="96"/>
      <c r="EM31" s="96"/>
      <c r="EN31" s="96"/>
      <c r="EO31" s="96"/>
      <c r="EP31" s="96"/>
      <c r="EQ31" s="96"/>
      <c r="ER31" s="96"/>
      <c r="ES31" s="96"/>
      <c r="ET31" s="96"/>
      <c r="EU31" s="96"/>
      <c r="EV31" s="96"/>
      <c r="EW31" s="96"/>
      <c r="EX31" s="96"/>
      <c r="EY31" s="96"/>
      <c r="EZ31" s="96"/>
      <c r="FA31" s="96"/>
      <c r="FB31" s="96"/>
      <c r="FC31" s="96"/>
      <c r="FD31" s="96"/>
      <c r="FE31" s="96"/>
      <c r="FF31" s="96"/>
      <c r="FG31" s="96"/>
      <c r="FH31" s="96"/>
      <c r="FI31" s="96"/>
      <c r="FJ31" s="96"/>
      <c r="FK31" s="96"/>
      <c r="FL31" s="96"/>
      <c r="FM31" s="96"/>
      <c r="FN31" s="96"/>
      <c r="FO31" s="96"/>
      <c r="FP31" s="96"/>
      <c r="FQ31" s="96"/>
      <c r="FR31" s="96"/>
      <c r="FS31" s="96"/>
      <c r="FT31" s="96"/>
      <c r="FU31" s="96"/>
      <c r="FV31" s="96"/>
      <c r="FW31" s="96"/>
      <c r="FX31" s="96"/>
      <c r="FY31" s="96"/>
      <c r="FZ31" s="96"/>
      <c r="GA31" s="96"/>
      <c r="GB31" s="96"/>
      <c r="GC31" s="96"/>
      <c r="GD31" s="96"/>
      <c r="GE31" s="96"/>
      <c r="GF31" s="96"/>
      <c r="GG31" s="96"/>
      <c r="GH31" s="96"/>
      <c r="GI31" s="96"/>
      <c r="GJ31" s="96"/>
      <c r="GK31" s="96"/>
      <c r="GL31" s="96"/>
      <c r="GM31" s="96"/>
      <c r="GN31" s="96"/>
      <c r="GO31" s="96"/>
      <c r="GP31" s="96"/>
      <c r="GQ31" s="96"/>
      <c r="GR31" s="96"/>
      <c r="GS31" s="96"/>
      <c r="GT31" s="96"/>
      <c r="GU31" s="96"/>
      <c r="GV31" s="96"/>
      <c r="GW31" s="96"/>
      <c r="GX31" s="96"/>
      <c r="GY31" s="96"/>
      <c r="GZ31" s="96"/>
      <c r="HA31" s="96"/>
      <c r="HB31" s="96"/>
      <c r="HC31" s="96"/>
      <c r="HD31" s="96"/>
      <c r="HE31" s="96"/>
      <c r="HF31" s="96"/>
      <c r="HG31" s="96"/>
      <c r="HH31" s="96"/>
      <c r="HI31" s="96"/>
      <c r="HJ31" s="96"/>
      <c r="HK31" s="96"/>
      <c r="HL31" s="96"/>
      <c r="HM31" s="96"/>
      <c r="HN31" s="96"/>
      <c r="HO31" s="96"/>
      <c r="HP31" s="96"/>
      <c r="HQ31" s="96"/>
      <c r="HR31" s="96"/>
      <c r="HS31" s="96"/>
      <c r="HT31" s="96"/>
      <c r="HU31" s="96"/>
      <c r="HV31" s="96"/>
      <c r="HW31" s="96"/>
      <c r="HX31" s="96"/>
      <c r="HY31" s="96"/>
      <c r="HZ31" s="96"/>
      <c r="IA31" s="96"/>
      <c r="IB31" s="96"/>
      <c r="IC31" s="96"/>
      <c r="ID31" s="96"/>
      <c r="IE31" s="96"/>
      <c r="IF31" s="96"/>
      <c r="IG31" s="96"/>
      <c r="IH31" s="96"/>
      <c r="II31" s="96"/>
      <c r="IJ31" s="96"/>
      <c r="IK31" s="96"/>
      <c r="IL31" s="96"/>
      <c r="IM31" s="96"/>
    </row>
    <row r="32" spans="1:247" s="117" customFormat="1" ht="11.25">
      <c r="A32" s="51" t="s">
        <v>118</v>
      </c>
      <c r="B32" s="52" t="s">
        <v>91</v>
      </c>
      <c r="C32" s="52"/>
      <c r="D32" s="53"/>
      <c r="E32" s="54">
        <v>2</v>
      </c>
      <c r="F32" s="54">
        <f>18.8+1.2</f>
        <v>20</v>
      </c>
      <c r="G32" s="55">
        <v>2.8</v>
      </c>
      <c r="H32" s="54"/>
      <c r="I32" s="55">
        <f>PRODUCT(E32:H32)*1.2</f>
        <v>134.4</v>
      </c>
      <c r="J32" s="57"/>
      <c r="K32" s="116"/>
      <c r="L32" s="116"/>
      <c r="M32" s="116"/>
      <c r="N32" s="116"/>
      <c r="O32" s="116"/>
      <c r="P32" s="116"/>
      <c r="Q32" s="144"/>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c r="GN32" s="116"/>
      <c r="GO32" s="116"/>
      <c r="GP32" s="116"/>
      <c r="GQ32" s="116"/>
      <c r="GR32" s="116"/>
      <c r="GS32" s="116"/>
      <c r="GT32" s="116"/>
      <c r="GU32" s="116"/>
      <c r="GV32" s="116"/>
      <c r="GW32" s="116"/>
      <c r="GX32" s="116"/>
      <c r="GY32" s="116"/>
      <c r="GZ32" s="116"/>
      <c r="HA32" s="116"/>
      <c r="HB32" s="116"/>
      <c r="HC32" s="116"/>
      <c r="HD32" s="116"/>
      <c r="HE32" s="116"/>
      <c r="HF32" s="116"/>
      <c r="HG32" s="116"/>
      <c r="HH32" s="116"/>
      <c r="HI32" s="116"/>
      <c r="HJ32" s="116"/>
      <c r="HK32" s="116"/>
      <c r="HL32" s="116"/>
      <c r="HM32" s="116"/>
      <c r="HN32" s="116"/>
      <c r="HO32" s="116"/>
      <c r="HP32" s="116"/>
      <c r="HQ32" s="116"/>
      <c r="HR32" s="116"/>
      <c r="HS32" s="116"/>
      <c r="HT32" s="116"/>
      <c r="HU32" s="116"/>
      <c r="HV32" s="116"/>
      <c r="HW32" s="116"/>
      <c r="HX32" s="116"/>
      <c r="HY32" s="116"/>
      <c r="HZ32" s="116"/>
      <c r="IA32" s="116"/>
      <c r="IB32" s="116"/>
      <c r="IC32" s="116"/>
      <c r="ID32" s="116"/>
      <c r="IE32" s="116"/>
      <c r="IF32" s="116"/>
      <c r="IG32" s="116"/>
      <c r="IH32" s="116"/>
      <c r="II32" s="116"/>
      <c r="IJ32" s="116"/>
      <c r="IK32" s="116"/>
      <c r="IL32" s="116"/>
      <c r="IM32" s="116"/>
    </row>
    <row r="33" spans="1:247" s="117" customFormat="1" ht="11.25">
      <c r="A33" s="51" t="s">
        <v>119</v>
      </c>
      <c r="B33" s="52" t="s">
        <v>116</v>
      </c>
      <c r="C33" s="52"/>
      <c r="D33" s="53"/>
      <c r="E33" s="54">
        <v>1</v>
      </c>
      <c r="F33" s="54">
        <f>3.4+4.8*2</f>
        <v>13</v>
      </c>
      <c r="G33" s="55">
        <v>0.8</v>
      </c>
      <c r="H33" s="54"/>
      <c r="I33" s="55">
        <f t="shared" ref="I33" si="4">PRODUCT(E33:H33)*1.2</f>
        <v>12.48</v>
      </c>
      <c r="J33" s="57"/>
      <c r="K33" s="116"/>
      <c r="L33" s="116"/>
      <c r="M33" s="116"/>
      <c r="N33" s="116"/>
      <c r="O33" s="116"/>
      <c r="P33" s="116"/>
      <c r="Q33" s="144"/>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c r="GN33" s="116"/>
      <c r="GO33" s="116"/>
      <c r="GP33" s="116"/>
      <c r="GQ33" s="116"/>
      <c r="GR33" s="116"/>
      <c r="GS33" s="116"/>
      <c r="GT33" s="116"/>
      <c r="GU33" s="116"/>
      <c r="GV33" s="116"/>
      <c r="GW33" s="116"/>
      <c r="GX33" s="116"/>
      <c r="GY33" s="116"/>
      <c r="GZ33" s="116"/>
      <c r="HA33" s="116"/>
      <c r="HB33" s="116"/>
      <c r="HC33" s="116"/>
      <c r="HD33" s="116"/>
      <c r="HE33" s="116"/>
      <c r="HF33" s="116"/>
      <c r="HG33" s="116"/>
      <c r="HH33" s="116"/>
      <c r="HI33" s="116"/>
      <c r="HJ33" s="116"/>
      <c r="HK33" s="116"/>
      <c r="HL33" s="116"/>
      <c r="HM33" s="116"/>
      <c r="HN33" s="116"/>
      <c r="HO33" s="116"/>
      <c r="HP33" s="116"/>
      <c r="HQ33" s="116"/>
      <c r="HR33" s="116"/>
      <c r="HS33" s="116"/>
      <c r="HT33" s="116"/>
      <c r="HU33" s="116"/>
      <c r="HV33" s="116"/>
      <c r="HW33" s="116"/>
      <c r="HX33" s="116"/>
      <c r="HY33" s="116"/>
      <c r="HZ33" s="116"/>
      <c r="IA33" s="116"/>
      <c r="IB33" s="116"/>
      <c r="IC33" s="116"/>
      <c r="ID33" s="116"/>
      <c r="IE33" s="116"/>
      <c r="IF33" s="116"/>
      <c r="IG33" s="116"/>
      <c r="IH33" s="116"/>
      <c r="II33" s="116"/>
      <c r="IJ33" s="116"/>
      <c r="IK33" s="116"/>
      <c r="IL33" s="116"/>
      <c r="IM33" s="116"/>
    </row>
    <row r="34" spans="1:247" s="117" customFormat="1" ht="11.25">
      <c r="A34" s="51" t="s">
        <v>120</v>
      </c>
      <c r="B34" s="52" t="s">
        <v>117</v>
      </c>
      <c r="C34" s="52"/>
      <c r="D34" s="53"/>
      <c r="E34" s="54">
        <v>1</v>
      </c>
      <c r="F34" s="54">
        <f>3.4+4.8*2</f>
        <v>13</v>
      </c>
      <c r="G34" s="55">
        <v>0.8</v>
      </c>
      <c r="H34" s="54"/>
      <c r="I34" s="55">
        <f t="shared" ref="I34" si="5">PRODUCT(E34:H34)*1.2</f>
        <v>12.48</v>
      </c>
      <c r="J34" s="57"/>
      <c r="K34" s="116"/>
      <c r="L34" s="116"/>
      <c r="M34" s="116"/>
      <c r="N34" s="116"/>
      <c r="O34" s="116"/>
      <c r="P34" s="116"/>
      <c r="Q34" s="144"/>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c r="GN34" s="116"/>
      <c r="GO34" s="116"/>
      <c r="GP34" s="116"/>
      <c r="GQ34" s="116"/>
      <c r="GR34" s="116"/>
      <c r="GS34" s="116"/>
      <c r="GT34" s="116"/>
      <c r="GU34" s="116"/>
      <c r="GV34" s="116"/>
      <c r="GW34" s="116"/>
      <c r="GX34" s="116"/>
      <c r="GY34" s="116"/>
      <c r="GZ34" s="116"/>
      <c r="HA34" s="116"/>
      <c r="HB34" s="116"/>
      <c r="HC34" s="116"/>
      <c r="HD34" s="116"/>
      <c r="HE34" s="116"/>
      <c r="HF34" s="116"/>
      <c r="HG34" s="116"/>
      <c r="HH34" s="116"/>
      <c r="HI34" s="116"/>
      <c r="HJ34" s="116"/>
      <c r="HK34" s="116"/>
      <c r="HL34" s="116"/>
      <c r="HM34" s="116"/>
      <c r="HN34" s="116"/>
      <c r="HO34" s="116"/>
      <c r="HP34" s="116"/>
      <c r="HQ34" s="116"/>
      <c r="HR34" s="116"/>
      <c r="HS34" s="116"/>
      <c r="HT34" s="116"/>
      <c r="HU34" s="116"/>
      <c r="HV34" s="116"/>
      <c r="HW34" s="116"/>
      <c r="HX34" s="116"/>
      <c r="HY34" s="116"/>
      <c r="HZ34" s="116"/>
      <c r="IA34" s="116"/>
      <c r="IB34" s="116"/>
      <c r="IC34" s="116"/>
      <c r="ID34" s="116"/>
      <c r="IE34" s="116"/>
      <c r="IF34" s="116"/>
      <c r="IG34" s="116"/>
      <c r="IH34" s="116"/>
      <c r="II34" s="116"/>
      <c r="IJ34" s="116"/>
      <c r="IK34" s="116"/>
      <c r="IL34" s="116"/>
      <c r="IM34" s="116"/>
    </row>
    <row r="35" spans="1:247" s="64" customFormat="1" ht="23.25" customHeight="1">
      <c r="A35" s="51" t="s">
        <v>153</v>
      </c>
      <c r="B35" s="52" t="s">
        <v>92</v>
      </c>
      <c r="C35" s="52"/>
      <c r="D35" s="53"/>
      <c r="E35" s="54">
        <v>2</v>
      </c>
      <c r="F35" s="54">
        <f>16.4</f>
        <v>16.399999999999999</v>
      </c>
      <c r="G35" s="55">
        <v>2.8</v>
      </c>
      <c r="H35" s="54"/>
      <c r="I35" s="55">
        <f t="shared" ref="I35:I39" si="6">PRODUCT(E35:H35)*1.2</f>
        <v>110.20799999999998</v>
      </c>
      <c r="J35" s="57"/>
      <c r="K35" s="63"/>
      <c r="L35" s="63"/>
      <c r="M35" s="63"/>
      <c r="N35" s="63"/>
      <c r="O35" s="63"/>
      <c r="P35" s="63"/>
      <c r="Q35" s="141"/>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c r="BB35" s="63"/>
      <c r="BC35" s="63"/>
      <c r="BD35" s="63"/>
      <c r="BE35" s="63"/>
      <c r="BF35" s="63"/>
      <c r="BG35" s="63"/>
      <c r="BH35" s="63"/>
      <c r="BI35" s="63"/>
      <c r="BJ35" s="63"/>
      <c r="BK35" s="63"/>
      <c r="BL35" s="63"/>
      <c r="BM35" s="63"/>
      <c r="BN35" s="63"/>
      <c r="BO35" s="63"/>
      <c r="BP35" s="63"/>
      <c r="BQ35" s="63"/>
      <c r="BR35" s="63"/>
      <c r="BS35" s="63"/>
      <c r="BT35" s="63"/>
      <c r="BU35" s="63"/>
      <c r="BV35" s="63"/>
      <c r="BW35" s="63"/>
      <c r="BX35" s="63"/>
      <c r="BY35" s="63"/>
      <c r="BZ35" s="63"/>
      <c r="CA35" s="63"/>
      <c r="CB35" s="63"/>
      <c r="CC35" s="63"/>
      <c r="CD35" s="63"/>
      <c r="CE35" s="63"/>
      <c r="CF35" s="63"/>
      <c r="CG35" s="63"/>
      <c r="CH35" s="63"/>
      <c r="CI35" s="63"/>
      <c r="CJ35" s="63"/>
      <c r="CK35" s="63"/>
      <c r="CL35" s="63"/>
      <c r="CM35" s="63"/>
      <c r="CN35" s="63"/>
      <c r="CO35" s="63"/>
      <c r="CP35" s="63"/>
      <c r="CQ35" s="63"/>
      <c r="CR35" s="63"/>
      <c r="CS35" s="63"/>
      <c r="CT35" s="63"/>
      <c r="CU35" s="63"/>
      <c r="CV35" s="63"/>
      <c r="CW35" s="63"/>
      <c r="CX35" s="63"/>
      <c r="CY35" s="63"/>
      <c r="CZ35" s="63"/>
      <c r="DA35" s="63"/>
      <c r="DB35" s="63"/>
      <c r="DC35" s="63"/>
      <c r="DD35" s="63"/>
      <c r="DE35" s="63"/>
      <c r="DF35" s="63"/>
      <c r="DG35" s="63"/>
      <c r="DH35" s="63"/>
      <c r="DI35" s="63"/>
      <c r="DJ35" s="63"/>
      <c r="DK35" s="63"/>
      <c r="DL35" s="63"/>
      <c r="DM35" s="63"/>
      <c r="DN35" s="63"/>
      <c r="DO35" s="63"/>
      <c r="DP35" s="63"/>
      <c r="DQ35" s="63"/>
      <c r="DR35" s="63"/>
      <c r="DS35" s="63"/>
      <c r="DT35" s="63"/>
      <c r="DU35" s="63"/>
      <c r="DV35" s="63"/>
      <c r="DW35" s="63"/>
      <c r="DX35" s="63"/>
      <c r="DY35" s="63"/>
      <c r="DZ35" s="63"/>
      <c r="EA35" s="63"/>
      <c r="EB35" s="63"/>
      <c r="EC35" s="63"/>
      <c r="ED35" s="63"/>
      <c r="EE35" s="63"/>
      <c r="EF35" s="63"/>
      <c r="EG35" s="63"/>
      <c r="EH35" s="63"/>
      <c r="EI35" s="63"/>
      <c r="EJ35" s="63"/>
      <c r="EK35" s="63"/>
      <c r="EL35" s="63"/>
      <c r="EM35" s="63"/>
      <c r="EN35" s="63"/>
      <c r="EO35" s="63"/>
      <c r="EP35" s="63"/>
      <c r="EQ35" s="63"/>
      <c r="ER35" s="63"/>
      <c r="ES35" s="63"/>
      <c r="ET35" s="63"/>
      <c r="EU35" s="63"/>
      <c r="EV35" s="63"/>
      <c r="EW35" s="63"/>
      <c r="EX35" s="63"/>
      <c r="EY35" s="63"/>
      <c r="EZ35" s="63"/>
      <c r="FA35" s="63"/>
      <c r="FB35" s="63"/>
      <c r="FC35" s="63"/>
      <c r="FD35" s="63"/>
      <c r="FE35" s="63"/>
      <c r="FF35" s="63"/>
      <c r="FG35" s="63"/>
      <c r="FH35" s="63"/>
      <c r="FI35" s="63"/>
      <c r="FJ35" s="63"/>
      <c r="FK35" s="63"/>
      <c r="FL35" s="63"/>
      <c r="FM35" s="63"/>
      <c r="FN35" s="63"/>
      <c r="FO35" s="63"/>
      <c r="FP35" s="63"/>
      <c r="FQ35" s="63"/>
      <c r="FR35" s="63"/>
      <c r="FS35" s="63"/>
      <c r="FT35" s="63"/>
      <c r="FU35" s="63"/>
      <c r="FV35" s="63"/>
      <c r="FW35" s="63"/>
      <c r="FX35" s="63"/>
      <c r="FY35" s="63"/>
      <c r="FZ35" s="63"/>
      <c r="GA35" s="63"/>
      <c r="GB35" s="63"/>
      <c r="GC35" s="63"/>
      <c r="GD35" s="63"/>
      <c r="GE35" s="63"/>
      <c r="GF35" s="63"/>
      <c r="GG35" s="63"/>
      <c r="GH35" s="63"/>
      <c r="GI35" s="63"/>
      <c r="GJ35" s="63"/>
      <c r="GK35" s="63"/>
      <c r="GL35" s="63"/>
      <c r="GM35" s="63"/>
      <c r="GN35" s="63"/>
      <c r="GO35" s="63"/>
      <c r="GP35" s="63"/>
      <c r="GQ35" s="63"/>
      <c r="GR35" s="63"/>
      <c r="GS35" s="63"/>
      <c r="GT35" s="63"/>
      <c r="GU35" s="63"/>
      <c r="GV35" s="63"/>
      <c r="GW35" s="63"/>
      <c r="GX35" s="63"/>
      <c r="GY35" s="63"/>
      <c r="GZ35" s="63"/>
      <c r="HA35" s="63"/>
      <c r="HB35" s="63"/>
      <c r="HC35" s="63"/>
      <c r="HD35" s="63"/>
      <c r="HE35" s="63"/>
      <c r="HF35" s="63"/>
      <c r="HG35" s="63"/>
      <c r="HH35" s="63"/>
      <c r="HI35" s="63"/>
      <c r="HJ35" s="63"/>
      <c r="HK35" s="63"/>
      <c r="HL35" s="63"/>
      <c r="HM35" s="63"/>
      <c r="HN35" s="63"/>
      <c r="HO35" s="63"/>
      <c r="HP35" s="63"/>
      <c r="HQ35" s="63"/>
      <c r="HR35" s="63"/>
      <c r="HS35" s="63"/>
      <c r="HT35" s="63"/>
      <c r="HU35" s="63"/>
      <c r="HV35" s="63"/>
      <c r="HW35" s="63"/>
      <c r="HX35" s="63"/>
      <c r="HY35" s="63"/>
      <c r="HZ35" s="63"/>
      <c r="IA35" s="63"/>
      <c r="IB35" s="63"/>
      <c r="IC35" s="63"/>
      <c r="ID35" s="63"/>
      <c r="IE35" s="63"/>
      <c r="IF35" s="63"/>
      <c r="IG35" s="63"/>
      <c r="IH35" s="63"/>
      <c r="II35" s="63"/>
      <c r="IJ35" s="63"/>
      <c r="IK35" s="63"/>
      <c r="IL35" s="63"/>
      <c r="IM35" s="63"/>
    </row>
    <row r="36" spans="1:247" s="64" customFormat="1">
      <c r="A36" s="51" t="s">
        <v>154</v>
      </c>
      <c r="B36" s="52" t="s">
        <v>92</v>
      </c>
      <c r="C36" s="52"/>
      <c r="D36" s="53"/>
      <c r="E36" s="54">
        <v>1</v>
      </c>
      <c r="F36" s="54">
        <v>3.4</v>
      </c>
      <c r="G36" s="55">
        <v>2.8</v>
      </c>
      <c r="H36" s="54"/>
      <c r="I36" s="55">
        <f t="shared" si="6"/>
        <v>11.423999999999999</v>
      </c>
      <c r="J36" s="57"/>
      <c r="K36" s="63"/>
      <c r="L36" s="63"/>
      <c r="M36" s="63"/>
      <c r="N36" s="63"/>
      <c r="O36" s="63"/>
      <c r="P36" s="63"/>
      <c r="Q36" s="141"/>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O36" s="63"/>
      <c r="BP36" s="63"/>
      <c r="BQ36" s="63"/>
      <c r="BR36" s="63"/>
      <c r="BS36" s="63"/>
      <c r="BT36" s="63"/>
      <c r="BU36" s="63"/>
      <c r="BV36" s="63"/>
      <c r="BW36" s="63"/>
      <c r="BX36" s="63"/>
      <c r="BY36" s="63"/>
      <c r="BZ36" s="63"/>
      <c r="CA36" s="63"/>
      <c r="CB36" s="63"/>
      <c r="CC36" s="63"/>
      <c r="CD36" s="63"/>
      <c r="CE36" s="63"/>
      <c r="CF36" s="63"/>
      <c r="CG36" s="63"/>
      <c r="CH36" s="63"/>
      <c r="CI36" s="63"/>
      <c r="CJ36" s="63"/>
      <c r="CK36" s="63"/>
      <c r="CL36" s="63"/>
      <c r="CM36" s="63"/>
      <c r="CN36" s="63"/>
      <c r="CO36" s="63"/>
      <c r="CP36" s="63"/>
      <c r="CQ36" s="63"/>
      <c r="CR36" s="63"/>
      <c r="CS36" s="63"/>
      <c r="CT36" s="63"/>
      <c r="CU36" s="63"/>
      <c r="CV36" s="63"/>
      <c r="CW36" s="63"/>
      <c r="CX36" s="63"/>
      <c r="CY36" s="63"/>
      <c r="CZ36" s="63"/>
      <c r="DA36" s="63"/>
      <c r="DB36" s="63"/>
      <c r="DC36" s="63"/>
      <c r="DD36" s="63"/>
      <c r="DE36" s="63"/>
      <c r="DF36" s="63"/>
      <c r="DG36" s="63"/>
      <c r="DH36" s="63"/>
      <c r="DI36" s="63"/>
      <c r="DJ36" s="63"/>
      <c r="DK36" s="63"/>
      <c r="DL36" s="63"/>
      <c r="DM36" s="63"/>
      <c r="DN36" s="63"/>
      <c r="DO36" s="63"/>
      <c r="DP36" s="63"/>
      <c r="DQ36" s="63"/>
      <c r="DR36" s="63"/>
      <c r="DS36" s="63"/>
      <c r="DT36" s="63"/>
      <c r="DU36" s="63"/>
      <c r="DV36" s="63"/>
      <c r="DW36" s="63"/>
      <c r="DX36" s="63"/>
      <c r="DY36" s="63"/>
      <c r="DZ36" s="63"/>
      <c r="EA36" s="63"/>
      <c r="EB36" s="63"/>
      <c r="EC36" s="63"/>
      <c r="ED36" s="63"/>
      <c r="EE36" s="63"/>
      <c r="EF36" s="63"/>
      <c r="EG36" s="63"/>
      <c r="EH36" s="63"/>
      <c r="EI36" s="63"/>
      <c r="EJ36" s="63"/>
      <c r="EK36" s="63"/>
      <c r="EL36" s="63"/>
      <c r="EM36" s="63"/>
      <c r="EN36" s="63"/>
      <c r="EO36" s="63"/>
      <c r="EP36" s="63"/>
      <c r="EQ36" s="63"/>
      <c r="ER36" s="63"/>
      <c r="ES36" s="63"/>
      <c r="ET36" s="63"/>
      <c r="EU36" s="63"/>
      <c r="EV36" s="63"/>
      <c r="EW36" s="63"/>
      <c r="EX36" s="63"/>
      <c r="EY36" s="63"/>
      <c r="EZ36" s="63"/>
      <c r="FA36" s="63"/>
      <c r="FB36" s="63"/>
      <c r="FC36" s="63"/>
      <c r="FD36" s="63"/>
      <c r="FE36" s="63"/>
      <c r="FF36" s="63"/>
      <c r="FG36" s="63"/>
      <c r="FH36" s="63"/>
      <c r="FI36" s="63"/>
      <c r="FJ36" s="63"/>
      <c r="FK36" s="63"/>
      <c r="FL36" s="63"/>
      <c r="FM36" s="63"/>
      <c r="FN36" s="63"/>
      <c r="FO36" s="63"/>
      <c r="FP36" s="63"/>
      <c r="FQ36" s="63"/>
      <c r="FR36" s="63"/>
      <c r="FS36" s="63"/>
      <c r="FT36" s="63"/>
      <c r="FU36" s="63"/>
      <c r="FV36" s="63"/>
      <c r="FW36" s="63"/>
      <c r="FX36" s="63"/>
      <c r="FY36" s="63"/>
      <c r="FZ36" s="63"/>
      <c r="GA36" s="63"/>
      <c r="GB36" s="63"/>
      <c r="GC36" s="63"/>
      <c r="GD36" s="63"/>
      <c r="GE36" s="63"/>
      <c r="GF36" s="63"/>
      <c r="GG36" s="63"/>
      <c r="GH36" s="63"/>
      <c r="GI36" s="63"/>
      <c r="GJ36" s="63"/>
      <c r="GK36" s="63"/>
      <c r="GL36" s="63"/>
      <c r="GM36" s="63"/>
      <c r="GN36" s="63"/>
      <c r="GO36" s="63"/>
      <c r="GP36" s="63"/>
      <c r="GQ36" s="63"/>
      <c r="GR36" s="63"/>
      <c r="GS36" s="63"/>
      <c r="GT36" s="63"/>
      <c r="GU36" s="63"/>
      <c r="GV36" s="63"/>
      <c r="GW36" s="63"/>
      <c r="GX36" s="63"/>
      <c r="GY36" s="63"/>
      <c r="GZ36" s="63"/>
      <c r="HA36" s="63"/>
      <c r="HB36" s="63"/>
      <c r="HC36" s="63"/>
      <c r="HD36" s="63"/>
      <c r="HE36" s="63"/>
      <c r="HF36" s="63"/>
      <c r="HG36" s="63"/>
      <c r="HH36" s="63"/>
      <c r="HI36" s="63"/>
      <c r="HJ36" s="63"/>
      <c r="HK36" s="63"/>
      <c r="HL36" s="63"/>
      <c r="HM36" s="63"/>
      <c r="HN36" s="63"/>
      <c r="HO36" s="63"/>
      <c r="HP36" s="63"/>
      <c r="HQ36" s="63"/>
      <c r="HR36" s="63"/>
      <c r="HS36" s="63"/>
      <c r="HT36" s="63"/>
      <c r="HU36" s="63"/>
      <c r="HV36" s="63"/>
      <c r="HW36" s="63"/>
      <c r="HX36" s="63"/>
      <c r="HY36" s="63"/>
      <c r="HZ36" s="63"/>
      <c r="IA36" s="63"/>
      <c r="IB36" s="63"/>
      <c r="IC36" s="63"/>
      <c r="ID36" s="63"/>
      <c r="IE36" s="63"/>
      <c r="IF36" s="63"/>
      <c r="IG36" s="63"/>
      <c r="IH36" s="63"/>
      <c r="II36" s="63"/>
      <c r="IJ36" s="63"/>
      <c r="IK36" s="63"/>
      <c r="IL36" s="63"/>
      <c r="IM36" s="63"/>
    </row>
    <row r="37" spans="1:247" s="64" customFormat="1">
      <c r="A37" s="51" t="s">
        <v>155</v>
      </c>
      <c r="B37" s="52" t="s">
        <v>93</v>
      </c>
      <c r="C37" s="52"/>
      <c r="D37" s="53"/>
      <c r="E37" s="54">
        <v>2</v>
      </c>
      <c r="F37" s="54">
        <v>16.399999999999999</v>
      </c>
      <c r="G37" s="55">
        <v>2.8</v>
      </c>
      <c r="H37" s="54"/>
      <c r="I37" s="55">
        <f t="shared" si="6"/>
        <v>110.20799999999998</v>
      </c>
      <c r="J37" s="57"/>
      <c r="K37" s="63"/>
      <c r="L37" s="63"/>
      <c r="M37" s="63"/>
      <c r="N37" s="63"/>
      <c r="O37" s="63"/>
      <c r="P37" s="63"/>
      <c r="Q37" s="141"/>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c r="BH37" s="63"/>
      <c r="BI37" s="63"/>
      <c r="BJ37" s="63"/>
      <c r="BK37" s="63"/>
      <c r="BL37" s="63"/>
      <c r="BM37" s="63"/>
      <c r="BN37" s="63"/>
      <c r="BO37" s="63"/>
      <c r="BP37" s="63"/>
      <c r="BQ37" s="63"/>
      <c r="BR37" s="63"/>
      <c r="BS37" s="63"/>
      <c r="BT37" s="63"/>
      <c r="BU37" s="63"/>
      <c r="BV37" s="63"/>
      <c r="BW37" s="63"/>
      <c r="BX37" s="63"/>
      <c r="BY37" s="63"/>
      <c r="BZ37" s="63"/>
      <c r="CA37" s="63"/>
      <c r="CB37" s="63"/>
      <c r="CC37" s="63"/>
      <c r="CD37" s="63"/>
      <c r="CE37" s="63"/>
      <c r="CF37" s="63"/>
      <c r="CG37" s="63"/>
      <c r="CH37" s="63"/>
      <c r="CI37" s="63"/>
      <c r="CJ37" s="63"/>
      <c r="CK37" s="63"/>
      <c r="CL37" s="63"/>
      <c r="CM37" s="63"/>
      <c r="CN37" s="63"/>
      <c r="CO37" s="63"/>
      <c r="CP37" s="63"/>
      <c r="CQ37" s="63"/>
      <c r="CR37" s="63"/>
      <c r="CS37" s="63"/>
      <c r="CT37" s="63"/>
      <c r="CU37" s="63"/>
      <c r="CV37" s="63"/>
      <c r="CW37" s="63"/>
      <c r="CX37" s="63"/>
      <c r="CY37" s="63"/>
      <c r="CZ37" s="63"/>
      <c r="DA37" s="63"/>
      <c r="DB37" s="63"/>
      <c r="DC37" s="63"/>
      <c r="DD37" s="63"/>
      <c r="DE37" s="63"/>
      <c r="DF37" s="63"/>
      <c r="DG37" s="63"/>
      <c r="DH37" s="63"/>
      <c r="DI37" s="63"/>
      <c r="DJ37" s="63"/>
      <c r="DK37" s="63"/>
      <c r="DL37" s="63"/>
      <c r="DM37" s="63"/>
      <c r="DN37" s="63"/>
      <c r="DO37" s="63"/>
      <c r="DP37" s="63"/>
      <c r="DQ37" s="63"/>
      <c r="DR37" s="63"/>
      <c r="DS37" s="63"/>
      <c r="DT37" s="63"/>
      <c r="DU37" s="63"/>
      <c r="DV37" s="63"/>
      <c r="DW37" s="63"/>
      <c r="DX37" s="63"/>
      <c r="DY37" s="63"/>
      <c r="DZ37" s="63"/>
      <c r="EA37" s="63"/>
      <c r="EB37" s="63"/>
      <c r="EC37" s="63"/>
      <c r="ED37" s="63"/>
      <c r="EE37" s="63"/>
      <c r="EF37" s="63"/>
      <c r="EG37" s="63"/>
      <c r="EH37" s="63"/>
      <c r="EI37" s="63"/>
      <c r="EJ37" s="63"/>
      <c r="EK37" s="63"/>
      <c r="EL37" s="63"/>
      <c r="EM37" s="63"/>
      <c r="EN37" s="63"/>
      <c r="EO37" s="63"/>
      <c r="EP37" s="63"/>
      <c r="EQ37" s="63"/>
      <c r="ER37" s="63"/>
      <c r="ES37" s="63"/>
      <c r="ET37" s="63"/>
      <c r="EU37" s="63"/>
      <c r="EV37" s="63"/>
      <c r="EW37" s="63"/>
      <c r="EX37" s="63"/>
      <c r="EY37" s="63"/>
      <c r="EZ37" s="63"/>
      <c r="FA37" s="63"/>
      <c r="FB37" s="63"/>
      <c r="FC37" s="63"/>
      <c r="FD37" s="63"/>
      <c r="FE37" s="63"/>
      <c r="FF37" s="63"/>
      <c r="FG37" s="63"/>
      <c r="FH37" s="63"/>
      <c r="FI37" s="63"/>
      <c r="FJ37" s="63"/>
      <c r="FK37" s="63"/>
      <c r="FL37" s="63"/>
      <c r="FM37" s="63"/>
      <c r="FN37" s="63"/>
      <c r="FO37" s="63"/>
      <c r="FP37" s="63"/>
      <c r="FQ37" s="63"/>
      <c r="FR37" s="63"/>
      <c r="FS37" s="63"/>
      <c r="FT37" s="63"/>
      <c r="FU37" s="63"/>
      <c r="FV37" s="63"/>
      <c r="FW37" s="63"/>
      <c r="FX37" s="63"/>
      <c r="FY37" s="63"/>
      <c r="FZ37" s="63"/>
      <c r="GA37" s="63"/>
      <c r="GB37" s="63"/>
      <c r="GC37" s="63"/>
      <c r="GD37" s="63"/>
      <c r="GE37" s="63"/>
      <c r="GF37" s="63"/>
      <c r="GG37" s="63"/>
      <c r="GH37" s="63"/>
      <c r="GI37" s="63"/>
      <c r="GJ37" s="63"/>
      <c r="GK37" s="63"/>
      <c r="GL37" s="63"/>
      <c r="GM37" s="63"/>
      <c r="GN37" s="63"/>
      <c r="GO37" s="63"/>
      <c r="GP37" s="63"/>
      <c r="GQ37" s="63"/>
      <c r="GR37" s="63"/>
      <c r="GS37" s="63"/>
      <c r="GT37" s="63"/>
      <c r="GU37" s="63"/>
      <c r="GV37" s="63"/>
      <c r="GW37" s="63"/>
      <c r="GX37" s="63"/>
      <c r="GY37" s="63"/>
      <c r="GZ37" s="63"/>
      <c r="HA37" s="63"/>
      <c r="HB37" s="63"/>
      <c r="HC37" s="63"/>
      <c r="HD37" s="63"/>
      <c r="HE37" s="63"/>
      <c r="HF37" s="63"/>
      <c r="HG37" s="63"/>
      <c r="HH37" s="63"/>
      <c r="HI37" s="63"/>
      <c r="HJ37" s="63"/>
      <c r="HK37" s="63"/>
      <c r="HL37" s="63"/>
      <c r="HM37" s="63"/>
      <c r="HN37" s="63"/>
      <c r="HO37" s="63"/>
      <c r="HP37" s="63"/>
      <c r="HQ37" s="63"/>
      <c r="HR37" s="63"/>
      <c r="HS37" s="63"/>
      <c r="HT37" s="63"/>
      <c r="HU37" s="63"/>
      <c r="HV37" s="63"/>
      <c r="HW37" s="63"/>
      <c r="HX37" s="63"/>
      <c r="HY37" s="63"/>
      <c r="HZ37" s="63"/>
      <c r="IA37" s="63"/>
      <c r="IB37" s="63"/>
      <c r="IC37" s="63"/>
      <c r="ID37" s="63"/>
      <c r="IE37" s="63"/>
      <c r="IF37" s="63"/>
      <c r="IG37" s="63"/>
      <c r="IH37" s="63"/>
      <c r="II37" s="63"/>
      <c r="IJ37" s="63"/>
      <c r="IK37" s="63"/>
      <c r="IL37" s="63"/>
      <c r="IM37" s="63"/>
    </row>
    <row r="38" spans="1:247" s="64" customFormat="1">
      <c r="A38" s="51" t="s">
        <v>156</v>
      </c>
      <c r="B38" s="52"/>
      <c r="C38" s="52"/>
      <c r="D38" s="53"/>
      <c r="E38" s="54">
        <v>2</v>
      </c>
      <c r="F38" s="54">
        <v>16.399999999999999</v>
      </c>
      <c r="G38" s="55">
        <f>1.7/2</f>
        <v>0.85</v>
      </c>
      <c r="H38" s="54"/>
      <c r="I38" s="55">
        <f t="shared" si="6"/>
        <v>33.455999999999996</v>
      </c>
      <c r="J38" s="57"/>
      <c r="K38" s="63"/>
      <c r="L38" s="63"/>
      <c r="M38" s="63"/>
      <c r="N38" s="63"/>
      <c r="O38" s="63"/>
      <c r="P38" s="63"/>
      <c r="Q38" s="141"/>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O38" s="63"/>
      <c r="BP38" s="63"/>
      <c r="BQ38" s="63"/>
      <c r="BR38" s="63"/>
      <c r="BS38" s="63"/>
      <c r="BT38" s="63"/>
      <c r="BU38" s="63"/>
      <c r="BV38" s="63"/>
      <c r="BW38" s="63"/>
      <c r="BX38" s="63"/>
      <c r="BY38" s="63"/>
      <c r="BZ38" s="63"/>
      <c r="CA38" s="63"/>
      <c r="CB38" s="63"/>
      <c r="CC38" s="63"/>
      <c r="CD38" s="63"/>
      <c r="CE38" s="63"/>
      <c r="CF38" s="63"/>
      <c r="CG38" s="63"/>
      <c r="CH38" s="63"/>
      <c r="CI38" s="63"/>
      <c r="CJ38" s="63"/>
      <c r="CK38" s="63"/>
      <c r="CL38" s="63"/>
      <c r="CM38" s="63"/>
      <c r="CN38" s="63"/>
      <c r="CO38" s="63"/>
      <c r="CP38" s="63"/>
      <c r="CQ38" s="63"/>
      <c r="CR38" s="63"/>
      <c r="CS38" s="63"/>
      <c r="CT38" s="63"/>
      <c r="CU38" s="63"/>
      <c r="CV38" s="63"/>
      <c r="CW38" s="63"/>
      <c r="CX38" s="63"/>
      <c r="CY38" s="63"/>
      <c r="CZ38" s="63"/>
      <c r="DA38" s="63"/>
      <c r="DB38" s="63"/>
      <c r="DC38" s="63"/>
      <c r="DD38" s="63"/>
      <c r="DE38" s="63"/>
      <c r="DF38" s="63"/>
      <c r="DG38" s="63"/>
      <c r="DH38" s="63"/>
      <c r="DI38" s="63"/>
      <c r="DJ38" s="63"/>
      <c r="DK38" s="63"/>
      <c r="DL38" s="63"/>
      <c r="DM38" s="63"/>
      <c r="DN38" s="63"/>
      <c r="DO38" s="63"/>
      <c r="DP38" s="63"/>
      <c r="DQ38" s="63"/>
      <c r="DR38" s="63"/>
      <c r="DS38" s="63"/>
      <c r="DT38" s="63"/>
      <c r="DU38" s="63"/>
      <c r="DV38" s="63"/>
      <c r="DW38" s="63"/>
      <c r="DX38" s="63"/>
      <c r="DY38" s="63"/>
      <c r="DZ38" s="63"/>
      <c r="EA38" s="63"/>
      <c r="EB38" s="63"/>
      <c r="EC38" s="63"/>
      <c r="ED38" s="63"/>
      <c r="EE38" s="63"/>
      <c r="EF38" s="63"/>
      <c r="EG38" s="63"/>
      <c r="EH38" s="63"/>
      <c r="EI38" s="63"/>
      <c r="EJ38" s="63"/>
      <c r="EK38" s="63"/>
      <c r="EL38" s="63"/>
      <c r="EM38" s="63"/>
      <c r="EN38" s="63"/>
      <c r="EO38" s="63"/>
      <c r="EP38" s="63"/>
      <c r="EQ38" s="63"/>
      <c r="ER38" s="63"/>
      <c r="ES38" s="63"/>
      <c r="ET38" s="63"/>
      <c r="EU38" s="63"/>
      <c r="EV38" s="63"/>
      <c r="EW38" s="63"/>
      <c r="EX38" s="63"/>
      <c r="EY38" s="63"/>
      <c r="EZ38" s="63"/>
      <c r="FA38" s="63"/>
      <c r="FB38" s="63"/>
      <c r="FC38" s="63"/>
      <c r="FD38" s="63"/>
      <c r="FE38" s="63"/>
      <c r="FF38" s="63"/>
      <c r="FG38" s="63"/>
      <c r="FH38" s="63"/>
      <c r="FI38" s="63"/>
      <c r="FJ38" s="63"/>
      <c r="FK38" s="63"/>
      <c r="FL38" s="63"/>
      <c r="FM38" s="63"/>
      <c r="FN38" s="63"/>
      <c r="FO38" s="63"/>
      <c r="FP38" s="63"/>
      <c r="FQ38" s="63"/>
      <c r="FR38" s="63"/>
      <c r="FS38" s="63"/>
      <c r="FT38" s="63"/>
      <c r="FU38" s="63"/>
      <c r="FV38" s="63"/>
      <c r="FW38" s="63"/>
      <c r="FX38" s="63"/>
      <c r="FY38" s="63"/>
      <c r="FZ38" s="63"/>
      <c r="GA38" s="63"/>
      <c r="GB38" s="63"/>
      <c r="GC38" s="63"/>
      <c r="GD38" s="63"/>
      <c r="GE38" s="63"/>
      <c r="GF38" s="63"/>
      <c r="GG38" s="63"/>
      <c r="GH38" s="63"/>
      <c r="GI38" s="63"/>
      <c r="GJ38" s="63"/>
      <c r="GK38" s="63"/>
      <c r="GL38" s="63"/>
      <c r="GM38" s="63"/>
      <c r="GN38" s="63"/>
      <c r="GO38" s="63"/>
      <c r="GP38" s="63"/>
      <c r="GQ38" s="63"/>
      <c r="GR38" s="63"/>
      <c r="GS38" s="63"/>
      <c r="GT38" s="63"/>
      <c r="GU38" s="63"/>
      <c r="GV38" s="63"/>
      <c r="GW38" s="63"/>
      <c r="GX38" s="63"/>
      <c r="GY38" s="63"/>
      <c r="GZ38" s="63"/>
      <c r="HA38" s="63"/>
      <c r="HB38" s="63"/>
      <c r="HC38" s="63"/>
      <c r="HD38" s="63"/>
      <c r="HE38" s="63"/>
      <c r="HF38" s="63"/>
      <c r="HG38" s="63"/>
      <c r="HH38" s="63"/>
      <c r="HI38" s="63"/>
      <c r="HJ38" s="63"/>
      <c r="HK38" s="63"/>
      <c r="HL38" s="63"/>
      <c r="HM38" s="63"/>
      <c r="HN38" s="63"/>
      <c r="HO38" s="63"/>
      <c r="HP38" s="63"/>
      <c r="HQ38" s="63"/>
      <c r="HR38" s="63"/>
      <c r="HS38" s="63"/>
      <c r="HT38" s="63"/>
      <c r="HU38" s="63"/>
      <c r="HV38" s="63"/>
      <c r="HW38" s="63"/>
      <c r="HX38" s="63"/>
      <c r="HY38" s="63"/>
      <c r="HZ38" s="63"/>
      <c r="IA38" s="63"/>
      <c r="IB38" s="63"/>
      <c r="IC38" s="63"/>
      <c r="ID38" s="63"/>
      <c r="IE38" s="63"/>
      <c r="IF38" s="63"/>
      <c r="IG38" s="63"/>
      <c r="IH38" s="63"/>
      <c r="II38" s="63"/>
      <c r="IJ38" s="63"/>
      <c r="IK38" s="63"/>
      <c r="IL38" s="63"/>
      <c r="IM38" s="63"/>
    </row>
    <row r="39" spans="1:247" s="64" customFormat="1">
      <c r="A39" s="51" t="s">
        <v>161</v>
      </c>
      <c r="B39" s="52" t="s">
        <v>93</v>
      </c>
      <c r="C39" s="52"/>
      <c r="D39" s="53"/>
      <c r="E39" s="54">
        <v>1</v>
      </c>
      <c r="F39" s="54">
        <v>3.4</v>
      </c>
      <c r="G39" s="55">
        <v>2.8</v>
      </c>
      <c r="H39" s="54"/>
      <c r="I39" s="55">
        <f t="shared" si="6"/>
        <v>11.423999999999999</v>
      </c>
      <c r="J39" s="57"/>
      <c r="K39" s="63"/>
      <c r="L39" s="63"/>
      <c r="M39" s="63"/>
      <c r="N39" s="63"/>
      <c r="O39" s="63"/>
      <c r="P39" s="63"/>
      <c r="Q39" s="141"/>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c r="BB39" s="63"/>
      <c r="BC39" s="63"/>
      <c r="BD39" s="63"/>
      <c r="BE39" s="63"/>
      <c r="BF39" s="63"/>
      <c r="BG39" s="63"/>
      <c r="BH39" s="63"/>
      <c r="BI39" s="63"/>
      <c r="BJ39" s="63"/>
      <c r="BK39" s="63"/>
      <c r="BL39" s="63"/>
      <c r="BM39" s="63"/>
      <c r="BN39" s="63"/>
      <c r="BO39" s="63"/>
      <c r="BP39" s="63"/>
      <c r="BQ39" s="63"/>
      <c r="BR39" s="63"/>
      <c r="BS39" s="63"/>
      <c r="BT39" s="63"/>
      <c r="BU39" s="63"/>
      <c r="BV39" s="63"/>
      <c r="BW39" s="63"/>
      <c r="BX39" s="63"/>
      <c r="BY39" s="63"/>
      <c r="BZ39" s="63"/>
      <c r="CA39" s="63"/>
      <c r="CB39" s="63"/>
      <c r="CC39" s="63"/>
      <c r="CD39" s="63"/>
      <c r="CE39" s="63"/>
      <c r="CF39" s="63"/>
      <c r="CG39" s="63"/>
      <c r="CH39" s="63"/>
      <c r="CI39" s="63"/>
      <c r="CJ39" s="63"/>
      <c r="CK39" s="63"/>
      <c r="CL39" s="63"/>
      <c r="CM39" s="63"/>
      <c r="CN39" s="63"/>
      <c r="CO39" s="63"/>
      <c r="CP39" s="63"/>
      <c r="CQ39" s="63"/>
      <c r="CR39" s="63"/>
      <c r="CS39" s="63"/>
      <c r="CT39" s="63"/>
      <c r="CU39" s="63"/>
      <c r="CV39" s="63"/>
      <c r="CW39" s="63"/>
      <c r="CX39" s="63"/>
      <c r="CY39" s="63"/>
      <c r="CZ39" s="63"/>
      <c r="DA39" s="63"/>
      <c r="DB39" s="63"/>
      <c r="DC39" s="63"/>
      <c r="DD39" s="63"/>
      <c r="DE39" s="63"/>
      <c r="DF39" s="63"/>
      <c r="DG39" s="63"/>
      <c r="DH39" s="63"/>
      <c r="DI39" s="63"/>
      <c r="DJ39" s="63"/>
      <c r="DK39" s="63"/>
      <c r="DL39" s="63"/>
      <c r="DM39" s="63"/>
      <c r="DN39" s="63"/>
      <c r="DO39" s="63"/>
      <c r="DP39" s="63"/>
      <c r="DQ39" s="63"/>
      <c r="DR39" s="63"/>
      <c r="DS39" s="63"/>
      <c r="DT39" s="63"/>
      <c r="DU39" s="63"/>
      <c r="DV39" s="63"/>
      <c r="DW39" s="63"/>
      <c r="DX39" s="63"/>
      <c r="DY39" s="63"/>
      <c r="DZ39" s="63"/>
      <c r="EA39" s="63"/>
      <c r="EB39" s="63"/>
      <c r="EC39" s="63"/>
      <c r="ED39" s="63"/>
      <c r="EE39" s="63"/>
      <c r="EF39" s="63"/>
      <c r="EG39" s="63"/>
      <c r="EH39" s="63"/>
      <c r="EI39" s="63"/>
      <c r="EJ39" s="63"/>
      <c r="EK39" s="63"/>
      <c r="EL39" s="63"/>
      <c r="EM39" s="63"/>
      <c r="EN39" s="63"/>
      <c r="EO39" s="63"/>
      <c r="EP39" s="63"/>
      <c r="EQ39" s="63"/>
      <c r="ER39" s="63"/>
      <c r="ES39" s="63"/>
      <c r="ET39" s="63"/>
      <c r="EU39" s="63"/>
      <c r="EV39" s="63"/>
      <c r="EW39" s="63"/>
      <c r="EX39" s="63"/>
      <c r="EY39" s="63"/>
      <c r="EZ39" s="63"/>
      <c r="FA39" s="63"/>
      <c r="FB39" s="63"/>
      <c r="FC39" s="63"/>
      <c r="FD39" s="63"/>
      <c r="FE39" s="63"/>
      <c r="FF39" s="63"/>
      <c r="FG39" s="63"/>
      <c r="FH39" s="63"/>
      <c r="FI39" s="63"/>
      <c r="FJ39" s="63"/>
      <c r="FK39" s="63"/>
      <c r="FL39" s="63"/>
      <c r="FM39" s="63"/>
      <c r="FN39" s="63"/>
      <c r="FO39" s="63"/>
      <c r="FP39" s="63"/>
      <c r="FQ39" s="63"/>
      <c r="FR39" s="63"/>
      <c r="FS39" s="63"/>
      <c r="FT39" s="63"/>
      <c r="FU39" s="63"/>
      <c r="FV39" s="63"/>
      <c r="FW39" s="63"/>
      <c r="FX39" s="63"/>
      <c r="FY39" s="63"/>
      <c r="FZ39" s="63"/>
      <c r="GA39" s="63"/>
      <c r="GB39" s="63"/>
      <c r="GC39" s="63"/>
      <c r="GD39" s="63"/>
      <c r="GE39" s="63"/>
      <c r="GF39" s="63"/>
      <c r="GG39" s="63"/>
      <c r="GH39" s="63"/>
      <c r="GI39" s="63"/>
      <c r="GJ39" s="63"/>
      <c r="GK39" s="63"/>
      <c r="GL39" s="63"/>
      <c r="GM39" s="63"/>
      <c r="GN39" s="63"/>
      <c r="GO39" s="63"/>
      <c r="GP39" s="63"/>
      <c r="GQ39" s="63"/>
      <c r="GR39" s="63"/>
      <c r="GS39" s="63"/>
      <c r="GT39" s="63"/>
      <c r="GU39" s="63"/>
      <c r="GV39" s="63"/>
      <c r="GW39" s="63"/>
      <c r="GX39" s="63"/>
      <c r="GY39" s="63"/>
      <c r="GZ39" s="63"/>
      <c r="HA39" s="63"/>
      <c r="HB39" s="63"/>
      <c r="HC39" s="63"/>
      <c r="HD39" s="63"/>
      <c r="HE39" s="63"/>
      <c r="HF39" s="63"/>
      <c r="HG39" s="63"/>
      <c r="HH39" s="63"/>
      <c r="HI39" s="63"/>
      <c r="HJ39" s="63"/>
      <c r="HK39" s="63"/>
      <c r="HL39" s="63"/>
      <c r="HM39" s="63"/>
      <c r="HN39" s="63"/>
      <c r="HO39" s="63"/>
      <c r="HP39" s="63"/>
      <c r="HQ39" s="63"/>
      <c r="HR39" s="63"/>
      <c r="HS39" s="63"/>
      <c r="HT39" s="63"/>
      <c r="HU39" s="63"/>
      <c r="HV39" s="63"/>
      <c r="HW39" s="63"/>
      <c r="HX39" s="63"/>
      <c r="HY39" s="63"/>
      <c r="HZ39" s="63"/>
      <c r="IA39" s="63"/>
      <c r="IB39" s="63"/>
      <c r="IC39" s="63"/>
      <c r="ID39" s="63"/>
      <c r="IE39" s="63"/>
      <c r="IF39" s="63"/>
      <c r="IG39" s="63"/>
      <c r="IH39" s="63"/>
      <c r="II39" s="63"/>
      <c r="IJ39" s="63"/>
      <c r="IK39" s="63"/>
      <c r="IL39" s="63"/>
      <c r="IM39" s="63"/>
    </row>
    <row r="40" spans="1:247" s="87" customFormat="1" ht="22.5">
      <c r="A40" s="81">
        <f>+A31+1</f>
        <v>11</v>
      </c>
      <c r="B40" s="82" t="s">
        <v>157</v>
      </c>
      <c r="C40" s="82" t="s">
        <v>111</v>
      </c>
      <c r="D40" s="81" t="s">
        <v>9</v>
      </c>
      <c r="E40" s="83"/>
      <c r="F40" s="83"/>
      <c r="G40" s="84"/>
      <c r="H40" s="83"/>
      <c r="I40" s="84">
        <f>+I21</f>
        <v>127.6512</v>
      </c>
      <c r="J40" s="85"/>
      <c r="K40" s="86"/>
      <c r="L40" s="86"/>
      <c r="M40" s="86"/>
      <c r="N40" s="86"/>
      <c r="O40" s="86"/>
      <c r="P40" s="86"/>
      <c r="Q40" s="140"/>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row>
    <row r="41" spans="1:247" s="87" customFormat="1">
      <c r="A41" s="81">
        <f>+A40+1</f>
        <v>12</v>
      </c>
      <c r="B41" s="82" t="s">
        <v>68</v>
      </c>
      <c r="C41" s="82"/>
      <c r="D41" s="81" t="s">
        <v>9</v>
      </c>
      <c r="E41" s="83"/>
      <c r="F41" s="83"/>
      <c r="G41" s="84"/>
      <c r="H41" s="83"/>
      <c r="I41" s="84">
        <f>+SUM(I42:I44)</f>
        <v>52.320000000000007</v>
      </c>
      <c r="J41" s="85"/>
      <c r="K41" s="86"/>
      <c r="L41" s="86"/>
      <c r="M41" s="86"/>
      <c r="N41" s="86"/>
      <c r="O41" s="86"/>
      <c r="P41" s="86"/>
      <c r="Q41" s="140"/>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row>
    <row r="42" spans="1:247" s="64" customFormat="1" outlineLevel="1">
      <c r="A42" s="51" t="s">
        <v>167</v>
      </c>
      <c r="B42" s="52" t="s">
        <v>58</v>
      </c>
      <c r="C42" s="52"/>
      <c r="D42" s="53"/>
      <c r="E42" s="54">
        <f>3*2</f>
        <v>6</v>
      </c>
      <c r="F42" s="54">
        <v>2.7</v>
      </c>
      <c r="G42" s="78"/>
      <c r="H42" s="55">
        <v>2.4</v>
      </c>
      <c r="I42" s="55">
        <f>+PRODUCT(E42:H42)</f>
        <v>38.880000000000003</v>
      </c>
      <c r="J42" s="57"/>
      <c r="K42" s="63"/>
      <c r="L42" s="63"/>
      <c r="M42" s="63"/>
      <c r="N42" s="63"/>
      <c r="O42" s="63"/>
      <c r="P42" s="91"/>
      <c r="Q42" s="141"/>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c r="BR42" s="63"/>
      <c r="BS42" s="63"/>
      <c r="BT42" s="63"/>
      <c r="BU42" s="63"/>
      <c r="BV42" s="63"/>
      <c r="BW42" s="63"/>
      <c r="BX42" s="63"/>
      <c r="BY42" s="63"/>
      <c r="BZ42" s="63"/>
      <c r="CA42" s="63"/>
      <c r="CB42" s="63"/>
      <c r="CC42" s="63"/>
      <c r="CD42" s="63"/>
      <c r="CE42" s="63"/>
      <c r="CF42" s="63"/>
      <c r="CG42" s="63"/>
      <c r="CH42" s="63"/>
      <c r="CI42" s="63"/>
      <c r="CJ42" s="63"/>
      <c r="CK42" s="63"/>
      <c r="CL42" s="63"/>
      <c r="CM42" s="63"/>
      <c r="CN42" s="63"/>
      <c r="CO42" s="63"/>
      <c r="CP42" s="63"/>
      <c r="CQ42" s="63"/>
      <c r="CR42" s="63"/>
      <c r="CS42" s="63"/>
      <c r="CT42" s="63"/>
      <c r="CU42" s="63"/>
      <c r="CV42" s="63"/>
      <c r="CW42" s="63"/>
      <c r="CX42" s="63"/>
      <c r="CY42" s="63"/>
      <c r="CZ42" s="63"/>
      <c r="DA42" s="63"/>
      <c r="DB42" s="63"/>
      <c r="DC42" s="63"/>
      <c r="DD42" s="63"/>
      <c r="DE42" s="63"/>
      <c r="DF42" s="63"/>
      <c r="DG42" s="63"/>
      <c r="DH42" s="63"/>
      <c r="DI42" s="63"/>
      <c r="DJ42" s="63"/>
      <c r="DK42" s="63"/>
      <c r="DL42" s="63"/>
      <c r="DM42" s="63"/>
      <c r="DN42" s="63"/>
      <c r="DO42" s="63"/>
      <c r="DP42" s="63"/>
      <c r="DQ42" s="63"/>
      <c r="DR42" s="63"/>
      <c r="DS42" s="63"/>
      <c r="DT42" s="63"/>
      <c r="DU42" s="63"/>
      <c r="DV42" s="63"/>
      <c r="DW42" s="63"/>
      <c r="DX42" s="63"/>
      <c r="DY42" s="63"/>
      <c r="DZ42" s="63"/>
      <c r="EA42" s="63"/>
      <c r="EB42" s="63"/>
      <c r="EC42" s="63"/>
      <c r="ED42" s="63"/>
      <c r="EE42" s="63"/>
      <c r="EF42" s="63"/>
      <c r="EG42" s="63"/>
      <c r="EH42" s="63"/>
      <c r="EI42" s="63"/>
      <c r="EJ42" s="63"/>
      <c r="EK42" s="63"/>
      <c r="EL42" s="63"/>
      <c r="EM42" s="63"/>
      <c r="EN42" s="63"/>
      <c r="EO42" s="63"/>
      <c r="EP42" s="63"/>
      <c r="EQ42" s="63"/>
      <c r="ER42" s="63"/>
      <c r="ES42" s="63"/>
      <c r="ET42" s="63"/>
      <c r="EU42" s="63"/>
      <c r="EV42" s="63"/>
      <c r="EW42" s="63"/>
      <c r="EX42" s="63"/>
      <c r="EY42" s="63"/>
      <c r="EZ42" s="63"/>
      <c r="FA42" s="63"/>
      <c r="FB42" s="63"/>
      <c r="FC42" s="63"/>
      <c r="FD42" s="63"/>
      <c r="FE42" s="63"/>
      <c r="FF42" s="63"/>
      <c r="FG42" s="63"/>
      <c r="FH42" s="63"/>
      <c r="FI42" s="63"/>
      <c r="FJ42" s="63"/>
      <c r="FK42" s="63"/>
      <c r="FL42" s="63"/>
      <c r="FM42" s="63"/>
      <c r="FN42" s="63"/>
      <c r="FO42" s="63"/>
      <c r="FP42" s="63"/>
      <c r="FQ42" s="63"/>
      <c r="FR42" s="63"/>
      <c r="FS42" s="63"/>
      <c r="FT42" s="63"/>
      <c r="FU42" s="63"/>
      <c r="FV42" s="63"/>
      <c r="FW42" s="63"/>
      <c r="FX42" s="63"/>
      <c r="FY42" s="63"/>
      <c r="FZ42" s="63"/>
      <c r="GA42" s="63"/>
      <c r="GB42" s="63"/>
      <c r="GC42" s="63"/>
      <c r="GD42" s="63"/>
      <c r="GE42" s="63"/>
      <c r="GF42" s="63"/>
      <c r="GG42" s="63"/>
      <c r="GH42" s="63"/>
      <c r="GI42" s="63"/>
      <c r="GJ42" s="63"/>
      <c r="GK42" s="63"/>
      <c r="GL42" s="63"/>
      <c r="GM42" s="63"/>
      <c r="GN42" s="63"/>
      <c r="GO42" s="63"/>
      <c r="GP42" s="63"/>
      <c r="GQ42" s="63"/>
      <c r="GR42" s="63"/>
      <c r="GS42" s="63"/>
      <c r="GT42" s="63"/>
      <c r="GU42" s="63"/>
      <c r="GV42" s="63"/>
      <c r="GW42" s="63"/>
      <c r="GX42" s="63"/>
      <c r="GY42" s="63"/>
      <c r="GZ42" s="63"/>
      <c r="HA42" s="63"/>
      <c r="HB42" s="63"/>
      <c r="HC42" s="63"/>
      <c r="HD42" s="63"/>
      <c r="HE42" s="63"/>
      <c r="HF42" s="63"/>
      <c r="HG42" s="63"/>
      <c r="HH42" s="63"/>
      <c r="HI42" s="63"/>
      <c r="HJ42" s="63"/>
      <c r="HK42" s="63"/>
      <c r="HL42" s="63"/>
      <c r="HM42" s="63"/>
      <c r="HN42" s="63"/>
      <c r="HO42" s="63"/>
      <c r="HP42" s="63"/>
      <c r="HQ42" s="63"/>
      <c r="HR42" s="63"/>
      <c r="HS42" s="63"/>
      <c r="HT42" s="63"/>
      <c r="HU42" s="63"/>
      <c r="HV42" s="63"/>
      <c r="HW42" s="63"/>
      <c r="HX42" s="63"/>
      <c r="HY42" s="63"/>
      <c r="HZ42" s="63"/>
      <c r="IA42" s="63"/>
      <c r="IB42" s="63"/>
      <c r="IC42" s="63"/>
      <c r="ID42" s="63"/>
      <c r="IE42" s="63"/>
      <c r="IF42" s="63"/>
      <c r="IG42" s="63"/>
      <c r="IH42" s="63"/>
      <c r="II42" s="63"/>
      <c r="IJ42" s="63"/>
      <c r="IK42" s="63"/>
      <c r="IL42" s="63"/>
      <c r="IM42" s="63"/>
    </row>
    <row r="43" spans="1:247" s="64" customFormat="1" outlineLevel="1">
      <c r="A43" s="51" t="s">
        <v>168</v>
      </c>
      <c r="B43" s="52" t="s">
        <v>59</v>
      </c>
      <c r="C43" s="52"/>
      <c r="D43" s="53"/>
      <c r="E43" s="54">
        <f>3*2</f>
        <v>6</v>
      </c>
      <c r="F43" s="54">
        <v>1.3</v>
      </c>
      <c r="G43" s="78"/>
      <c r="H43" s="55">
        <v>2.4</v>
      </c>
      <c r="I43" s="55">
        <f>+PRODUCT(E43:H43)</f>
        <v>18.720000000000002</v>
      </c>
      <c r="J43" s="57"/>
      <c r="K43" s="63"/>
      <c r="L43" s="63"/>
      <c r="M43" s="63"/>
      <c r="N43" s="63"/>
      <c r="O43" s="63"/>
      <c r="P43" s="91"/>
      <c r="Q43" s="141"/>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63"/>
      <c r="BO43" s="63"/>
      <c r="BP43" s="63"/>
      <c r="BQ43" s="63"/>
      <c r="BR43" s="63"/>
      <c r="BS43" s="63"/>
      <c r="BT43" s="63"/>
      <c r="BU43" s="63"/>
      <c r="BV43" s="63"/>
      <c r="BW43" s="63"/>
      <c r="BX43" s="63"/>
      <c r="BY43" s="63"/>
      <c r="BZ43" s="63"/>
      <c r="CA43" s="63"/>
      <c r="CB43" s="63"/>
      <c r="CC43" s="63"/>
      <c r="CD43" s="63"/>
      <c r="CE43" s="63"/>
      <c r="CF43" s="63"/>
      <c r="CG43" s="63"/>
      <c r="CH43" s="63"/>
      <c r="CI43" s="63"/>
      <c r="CJ43" s="63"/>
      <c r="CK43" s="63"/>
      <c r="CL43" s="63"/>
      <c r="CM43" s="63"/>
      <c r="CN43" s="63"/>
      <c r="CO43" s="63"/>
      <c r="CP43" s="63"/>
      <c r="CQ43" s="63"/>
      <c r="CR43" s="63"/>
      <c r="CS43" s="63"/>
      <c r="CT43" s="63"/>
      <c r="CU43" s="63"/>
      <c r="CV43" s="63"/>
      <c r="CW43" s="63"/>
      <c r="CX43" s="63"/>
      <c r="CY43" s="63"/>
      <c r="CZ43" s="63"/>
      <c r="DA43" s="63"/>
      <c r="DB43" s="63"/>
      <c r="DC43" s="63"/>
      <c r="DD43" s="63"/>
      <c r="DE43" s="63"/>
      <c r="DF43" s="63"/>
      <c r="DG43" s="63"/>
      <c r="DH43" s="63"/>
      <c r="DI43" s="63"/>
      <c r="DJ43" s="63"/>
      <c r="DK43" s="63"/>
      <c r="DL43" s="63"/>
      <c r="DM43" s="63"/>
      <c r="DN43" s="63"/>
      <c r="DO43" s="63"/>
      <c r="DP43" s="63"/>
      <c r="DQ43" s="63"/>
      <c r="DR43" s="63"/>
      <c r="DS43" s="63"/>
      <c r="DT43" s="63"/>
      <c r="DU43" s="63"/>
      <c r="DV43" s="63"/>
      <c r="DW43" s="63"/>
      <c r="DX43" s="63"/>
      <c r="DY43" s="63"/>
      <c r="DZ43" s="63"/>
      <c r="EA43" s="63"/>
      <c r="EB43" s="63"/>
      <c r="EC43" s="63"/>
      <c r="ED43" s="63"/>
      <c r="EE43" s="63"/>
      <c r="EF43" s="63"/>
      <c r="EG43" s="63"/>
      <c r="EH43" s="63"/>
      <c r="EI43" s="63"/>
      <c r="EJ43" s="63"/>
      <c r="EK43" s="63"/>
      <c r="EL43" s="63"/>
      <c r="EM43" s="63"/>
      <c r="EN43" s="63"/>
      <c r="EO43" s="63"/>
      <c r="EP43" s="63"/>
      <c r="EQ43" s="63"/>
      <c r="ER43" s="63"/>
      <c r="ES43" s="63"/>
      <c r="ET43" s="63"/>
      <c r="EU43" s="63"/>
      <c r="EV43" s="63"/>
      <c r="EW43" s="63"/>
      <c r="EX43" s="63"/>
      <c r="EY43" s="63"/>
      <c r="EZ43" s="63"/>
      <c r="FA43" s="63"/>
      <c r="FB43" s="63"/>
      <c r="FC43" s="63"/>
      <c r="FD43" s="63"/>
      <c r="FE43" s="63"/>
      <c r="FF43" s="63"/>
      <c r="FG43" s="63"/>
      <c r="FH43" s="63"/>
      <c r="FI43" s="63"/>
      <c r="FJ43" s="63"/>
      <c r="FK43" s="63"/>
      <c r="FL43" s="63"/>
      <c r="FM43" s="63"/>
      <c r="FN43" s="63"/>
      <c r="FO43" s="63"/>
      <c r="FP43" s="63"/>
      <c r="FQ43" s="63"/>
      <c r="FR43" s="63"/>
      <c r="FS43" s="63"/>
      <c r="FT43" s="63"/>
      <c r="FU43" s="63"/>
      <c r="FV43" s="63"/>
      <c r="FW43" s="63"/>
      <c r="FX43" s="63"/>
      <c r="FY43" s="63"/>
      <c r="FZ43" s="63"/>
      <c r="GA43" s="63"/>
      <c r="GB43" s="63"/>
      <c r="GC43" s="63"/>
      <c r="GD43" s="63"/>
      <c r="GE43" s="63"/>
      <c r="GF43" s="63"/>
      <c r="GG43" s="63"/>
      <c r="GH43" s="63"/>
      <c r="GI43" s="63"/>
      <c r="GJ43" s="63"/>
      <c r="GK43" s="63"/>
      <c r="GL43" s="63"/>
      <c r="GM43" s="63"/>
      <c r="GN43" s="63"/>
      <c r="GO43" s="63"/>
      <c r="GP43" s="63"/>
      <c r="GQ43" s="63"/>
      <c r="GR43" s="63"/>
      <c r="GS43" s="63"/>
      <c r="GT43" s="63"/>
      <c r="GU43" s="63"/>
      <c r="GV43" s="63"/>
      <c r="GW43" s="63"/>
      <c r="GX43" s="63"/>
      <c r="GY43" s="63"/>
      <c r="GZ43" s="63"/>
      <c r="HA43" s="63"/>
      <c r="HB43" s="63"/>
      <c r="HC43" s="63"/>
      <c r="HD43" s="63"/>
      <c r="HE43" s="63"/>
      <c r="HF43" s="63"/>
      <c r="HG43" s="63"/>
      <c r="HH43" s="63"/>
      <c r="HI43" s="63"/>
      <c r="HJ43" s="63"/>
      <c r="HK43" s="63"/>
      <c r="HL43" s="63"/>
      <c r="HM43" s="63"/>
      <c r="HN43" s="63"/>
      <c r="HO43" s="63"/>
      <c r="HP43" s="63"/>
      <c r="HQ43" s="63"/>
      <c r="HR43" s="63"/>
      <c r="HS43" s="63"/>
      <c r="HT43" s="63"/>
      <c r="HU43" s="63"/>
      <c r="HV43" s="63"/>
      <c r="HW43" s="63"/>
      <c r="HX43" s="63"/>
      <c r="HY43" s="63"/>
      <c r="HZ43" s="63"/>
      <c r="IA43" s="63"/>
      <c r="IB43" s="63"/>
      <c r="IC43" s="63"/>
      <c r="ID43" s="63"/>
      <c r="IE43" s="63"/>
      <c r="IF43" s="63"/>
      <c r="IG43" s="63"/>
      <c r="IH43" s="63"/>
      <c r="II43" s="63"/>
      <c r="IJ43" s="63"/>
      <c r="IK43" s="63"/>
      <c r="IL43" s="63"/>
      <c r="IM43" s="63"/>
    </row>
    <row r="44" spans="1:247" s="64" customFormat="1" outlineLevel="1">
      <c r="A44" s="51" t="s">
        <v>169</v>
      </c>
      <c r="B44" s="52" t="s">
        <v>69</v>
      </c>
      <c r="C44" s="52"/>
      <c r="D44" s="53"/>
      <c r="E44" s="54">
        <f>3*-1</f>
        <v>-3</v>
      </c>
      <c r="F44" s="54">
        <v>0.8</v>
      </c>
      <c r="G44" s="78"/>
      <c r="H44" s="55">
        <v>2.2000000000000002</v>
      </c>
      <c r="I44" s="55">
        <f>+PRODUCT(E44:H44)</f>
        <v>-5.2800000000000011</v>
      </c>
      <c r="J44" s="57"/>
      <c r="K44" s="63"/>
      <c r="L44" s="63"/>
      <c r="M44" s="63"/>
      <c r="N44" s="63"/>
      <c r="O44" s="63"/>
      <c r="P44" s="91"/>
      <c r="Q44" s="141"/>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c r="BR44" s="63"/>
      <c r="BS44" s="63"/>
      <c r="BT44" s="63"/>
      <c r="BU44" s="63"/>
      <c r="BV44" s="63"/>
      <c r="BW44" s="63"/>
      <c r="BX44" s="63"/>
      <c r="BY44" s="63"/>
      <c r="BZ44" s="63"/>
      <c r="CA44" s="63"/>
      <c r="CB44" s="63"/>
      <c r="CC44" s="63"/>
      <c r="CD44" s="63"/>
      <c r="CE44" s="63"/>
      <c r="CF44" s="63"/>
      <c r="CG44" s="63"/>
      <c r="CH44" s="63"/>
      <c r="CI44" s="63"/>
      <c r="CJ44" s="63"/>
      <c r="CK44" s="63"/>
      <c r="CL44" s="63"/>
      <c r="CM44" s="63"/>
      <c r="CN44" s="63"/>
      <c r="CO44" s="63"/>
      <c r="CP44" s="63"/>
      <c r="CQ44" s="63"/>
      <c r="CR44" s="63"/>
      <c r="CS44" s="63"/>
      <c r="CT44" s="63"/>
      <c r="CU44" s="63"/>
      <c r="CV44" s="63"/>
      <c r="CW44" s="63"/>
      <c r="CX44" s="63"/>
      <c r="CY44" s="63"/>
      <c r="CZ44" s="63"/>
      <c r="DA44" s="63"/>
      <c r="DB44" s="63"/>
      <c r="DC44" s="63"/>
      <c r="DD44" s="63"/>
      <c r="DE44" s="63"/>
      <c r="DF44" s="63"/>
      <c r="DG44" s="63"/>
      <c r="DH44" s="63"/>
      <c r="DI44" s="63"/>
      <c r="DJ44" s="63"/>
      <c r="DK44" s="63"/>
      <c r="DL44" s="63"/>
      <c r="DM44" s="63"/>
      <c r="DN44" s="63"/>
      <c r="DO44" s="63"/>
      <c r="DP44" s="63"/>
      <c r="DQ44" s="63"/>
      <c r="DR44" s="63"/>
      <c r="DS44" s="63"/>
      <c r="DT44" s="63"/>
      <c r="DU44" s="63"/>
      <c r="DV44" s="63"/>
      <c r="DW44" s="63"/>
      <c r="DX44" s="63"/>
      <c r="DY44" s="63"/>
      <c r="DZ44" s="63"/>
      <c r="EA44" s="63"/>
      <c r="EB44" s="63"/>
      <c r="EC44" s="63"/>
      <c r="ED44" s="63"/>
      <c r="EE44" s="63"/>
      <c r="EF44" s="63"/>
      <c r="EG44" s="63"/>
      <c r="EH44" s="63"/>
      <c r="EI44" s="63"/>
      <c r="EJ44" s="63"/>
      <c r="EK44" s="63"/>
      <c r="EL44" s="63"/>
      <c r="EM44" s="63"/>
      <c r="EN44" s="63"/>
      <c r="EO44" s="63"/>
      <c r="EP44" s="63"/>
      <c r="EQ44" s="63"/>
      <c r="ER44" s="63"/>
      <c r="ES44" s="63"/>
      <c r="ET44" s="63"/>
      <c r="EU44" s="63"/>
      <c r="EV44" s="63"/>
      <c r="EW44" s="63"/>
      <c r="EX44" s="63"/>
      <c r="EY44" s="63"/>
      <c r="EZ44" s="63"/>
      <c r="FA44" s="63"/>
      <c r="FB44" s="63"/>
      <c r="FC44" s="63"/>
      <c r="FD44" s="63"/>
      <c r="FE44" s="63"/>
      <c r="FF44" s="63"/>
      <c r="FG44" s="63"/>
      <c r="FH44" s="63"/>
      <c r="FI44" s="63"/>
      <c r="FJ44" s="63"/>
      <c r="FK44" s="63"/>
      <c r="FL44" s="63"/>
      <c r="FM44" s="63"/>
      <c r="FN44" s="63"/>
      <c r="FO44" s="63"/>
      <c r="FP44" s="63"/>
      <c r="FQ44" s="63"/>
      <c r="FR44" s="63"/>
      <c r="FS44" s="63"/>
      <c r="FT44" s="63"/>
      <c r="FU44" s="63"/>
      <c r="FV44" s="63"/>
      <c r="FW44" s="63"/>
      <c r="FX44" s="63"/>
      <c r="FY44" s="63"/>
      <c r="FZ44" s="63"/>
      <c r="GA44" s="63"/>
      <c r="GB44" s="63"/>
      <c r="GC44" s="63"/>
      <c r="GD44" s="63"/>
      <c r="GE44" s="63"/>
      <c r="GF44" s="63"/>
      <c r="GG44" s="63"/>
      <c r="GH44" s="63"/>
      <c r="GI44" s="63"/>
      <c r="GJ44" s="63"/>
      <c r="GK44" s="63"/>
      <c r="GL44" s="63"/>
      <c r="GM44" s="63"/>
      <c r="GN44" s="63"/>
      <c r="GO44" s="63"/>
      <c r="GP44" s="63"/>
      <c r="GQ44" s="63"/>
      <c r="GR44" s="63"/>
      <c r="GS44" s="63"/>
      <c r="GT44" s="63"/>
      <c r="GU44" s="63"/>
      <c r="GV44" s="63"/>
      <c r="GW44" s="63"/>
      <c r="GX44" s="63"/>
      <c r="GY44" s="63"/>
      <c r="GZ44" s="63"/>
      <c r="HA44" s="63"/>
      <c r="HB44" s="63"/>
      <c r="HC44" s="63"/>
      <c r="HD44" s="63"/>
      <c r="HE44" s="63"/>
      <c r="HF44" s="63"/>
      <c r="HG44" s="63"/>
      <c r="HH44" s="63"/>
      <c r="HI44" s="63"/>
      <c r="HJ44" s="63"/>
      <c r="HK44" s="63"/>
      <c r="HL44" s="63"/>
      <c r="HM44" s="63"/>
      <c r="HN44" s="63"/>
      <c r="HO44" s="63"/>
      <c r="HP44" s="63"/>
      <c r="HQ44" s="63"/>
      <c r="HR44" s="63"/>
      <c r="HS44" s="63"/>
      <c r="HT44" s="63"/>
      <c r="HU44" s="63"/>
      <c r="HV44" s="63"/>
      <c r="HW44" s="63"/>
      <c r="HX44" s="63"/>
      <c r="HY44" s="63"/>
      <c r="HZ44" s="63"/>
      <c r="IA44" s="63"/>
      <c r="IB44" s="63"/>
      <c r="IC44" s="63"/>
      <c r="ID44" s="63"/>
      <c r="IE44" s="63"/>
      <c r="IF44" s="63"/>
      <c r="IG44" s="63"/>
      <c r="IH44" s="63"/>
      <c r="II44" s="63"/>
      <c r="IJ44" s="63"/>
      <c r="IK44" s="63"/>
      <c r="IL44" s="63"/>
      <c r="IM44" s="63"/>
    </row>
    <row r="45" spans="1:247" s="97" customFormat="1" ht="33.75">
      <c r="A45" s="81">
        <f>+A41+1</f>
        <v>13</v>
      </c>
      <c r="B45" s="82" t="s">
        <v>126</v>
      </c>
      <c r="C45" s="82" t="s">
        <v>108</v>
      </c>
      <c r="D45" s="136" t="s">
        <v>127</v>
      </c>
      <c r="E45" s="83"/>
      <c r="F45" s="83"/>
      <c r="G45" s="84"/>
      <c r="H45" s="83"/>
      <c r="I45" s="84">
        <v>3</v>
      </c>
      <c r="J45" s="85"/>
      <c r="K45" s="96"/>
      <c r="L45" s="96"/>
      <c r="M45" s="96"/>
      <c r="N45" s="96"/>
      <c r="O45" s="96"/>
      <c r="P45" s="96"/>
      <c r="Q45" s="142"/>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c r="AS45" s="96"/>
      <c r="AT45" s="96"/>
      <c r="AU45" s="96"/>
      <c r="AV45" s="96"/>
      <c r="AW45" s="96"/>
      <c r="AX45" s="96"/>
      <c r="AY45" s="96"/>
      <c r="AZ45" s="96"/>
      <c r="BA45" s="96"/>
      <c r="BB45" s="96"/>
      <c r="BC45" s="96"/>
      <c r="BD45" s="96"/>
      <c r="BE45" s="96"/>
      <c r="BF45" s="96"/>
      <c r="BG45" s="96"/>
      <c r="BH45" s="96"/>
      <c r="BI45" s="96"/>
      <c r="BJ45" s="96"/>
      <c r="BK45" s="96"/>
      <c r="BL45" s="96"/>
      <c r="BM45" s="96"/>
      <c r="BN45" s="96"/>
      <c r="BO45" s="96"/>
      <c r="BP45" s="96"/>
      <c r="BQ45" s="96"/>
      <c r="BR45" s="96"/>
      <c r="BS45" s="96"/>
      <c r="BT45" s="96"/>
      <c r="BU45" s="96"/>
      <c r="BV45" s="96"/>
      <c r="BW45" s="96"/>
      <c r="BX45" s="96"/>
      <c r="BY45" s="96"/>
      <c r="BZ45" s="96"/>
      <c r="CA45" s="96"/>
      <c r="CB45" s="96"/>
      <c r="CC45" s="96"/>
      <c r="CD45" s="96"/>
      <c r="CE45" s="96"/>
      <c r="CF45" s="96"/>
      <c r="CG45" s="96"/>
      <c r="CH45" s="96"/>
      <c r="CI45" s="96"/>
      <c r="CJ45" s="96"/>
      <c r="CK45" s="96"/>
      <c r="CL45" s="96"/>
      <c r="CM45" s="96"/>
      <c r="CN45" s="96"/>
      <c r="CO45" s="96"/>
      <c r="CP45" s="96"/>
      <c r="CQ45" s="96"/>
      <c r="CR45" s="96"/>
      <c r="CS45" s="96"/>
      <c r="CT45" s="96"/>
      <c r="CU45" s="96"/>
      <c r="CV45" s="96"/>
      <c r="CW45" s="96"/>
      <c r="CX45" s="96"/>
      <c r="CY45" s="96"/>
      <c r="CZ45" s="96"/>
      <c r="DA45" s="96"/>
      <c r="DB45" s="96"/>
      <c r="DC45" s="96"/>
      <c r="DD45" s="96"/>
      <c r="DE45" s="96"/>
      <c r="DF45" s="96"/>
      <c r="DG45" s="96"/>
      <c r="DH45" s="96"/>
      <c r="DI45" s="96"/>
      <c r="DJ45" s="96"/>
      <c r="DK45" s="96"/>
      <c r="DL45" s="96"/>
      <c r="DM45" s="96"/>
      <c r="DN45" s="96"/>
      <c r="DO45" s="96"/>
      <c r="DP45" s="96"/>
      <c r="DQ45" s="96"/>
      <c r="DR45" s="96"/>
      <c r="DS45" s="96"/>
      <c r="DT45" s="96"/>
      <c r="DU45" s="96"/>
      <c r="DV45" s="96"/>
      <c r="DW45" s="96"/>
      <c r="DX45" s="96"/>
      <c r="DY45" s="96"/>
      <c r="DZ45" s="96"/>
      <c r="EA45" s="96"/>
      <c r="EB45" s="96"/>
      <c r="EC45" s="96"/>
      <c r="ED45" s="96"/>
      <c r="EE45" s="96"/>
      <c r="EF45" s="96"/>
      <c r="EG45" s="96"/>
      <c r="EH45" s="96"/>
      <c r="EI45" s="96"/>
      <c r="EJ45" s="96"/>
      <c r="EK45" s="96"/>
      <c r="EL45" s="96"/>
      <c r="EM45" s="96"/>
      <c r="EN45" s="96"/>
      <c r="EO45" s="96"/>
      <c r="EP45" s="96"/>
      <c r="EQ45" s="96"/>
      <c r="ER45" s="96"/>
      <c r="ES45" s="96"/>
      <c r="ET45" s="96"/>
      <c r="EU45" s="96"/>
      <c r="EV45" s="96"/>
      <c r="EW45" s="96"/>
      <c r="EX45" s="96"/>
      <c r="EY45" s="96"/>
      <c r="EZ45" s="96"/>
      <c r="FA45" s="96"/>
      <c r="FB45" s="96"/>
      <c r="FC45" s="96"/>
      <c r="FD45" s="96"/>
      <c r="FE45" s="96"/>
      <c r="FF45" s="96"/>
      <c r="FG45" s="96"/>
      <c r="FH45" s="96"/>
      <c r="FI45" s="96"/>
      <c r="FJ45" s="96"/>
      <c r="FK45" s="96"/>
      <c r="FL45" s="96"/>
      <c r="FM45" s="96"/>
      <c r="FN45" s="96"/>
      <c r="FO45" s="96"/>
      <c r="FP45" s="96"/>
      <c r="FQ45" s="96"/>
      <c r="FR45" s="96"/>
      <c r="FS45" s="96"/>
      <c r="FT45" s="96"/>
      <c r="FU45" s="96"/>
      <c r="FV45" s="96"/>
      <c r="FW45" s="96"/>
      <c r="FX45" s="96"/>
      <c r="FY45" s="96"/>
      <c r="FZ45" s="96"/>
      <c r="GA45" s="96"/>
      <c r="GB45" s="96"/>
      <c r="GC45" s="96"/>
      <c r="GD45" s="96"/>
      <c r="GE45" s="96"/>
      <c r="GF45" s="96"/>
      <c r="GG45" s="96"/>
      <c r="GH45" s="96"/>
      <c r="GI45" s="96"/>
      <c r="GJ45" s="96"/>
      <c r="GK45" s="96"/>
      <c r="GL45" s="96"/>
      <c r="GM45" s="96"/>
      <c r="GN45" s="96"/>
      <c r="GO45" s="96"/>
      <c r="GP45" s="96"/>
      <c r="GQ45" s="96"/>
      <c r="GR45" s="96"/>
      <c r="GS45" s="96"/>
      <c r="GT45" s="96"/>
      <c r="GU45" s="96"/>
      <c r="GV45" s="96"/>
      <c r="GW45" s="96"/>
      <c r="GX45" s="96"/>
      <c r="GY45" s="96"/>
      <c r="GZ45" s="96"/>
      <c r="HA45" s="96"/>
      <c r="HB45" s="96"/>
      <c r="HC45" s="96"/>
      <c r="HD45" s="96"/>
      <c r="HE45" s="96"/>
      <c r="HF45" s="96"/>
      <c r="HG45" s="96"/>
      <c r="HH45" s="96"/>
      <c r="HI45" s="96"/>
      <c r="HJ45" s="96"/>
      <c r="HK45" s="96"/>
      <c r="HL45" s="96"/>
      <c r="HM45" s="96"/>
      <c r="HN45" s="96"/>
      <c r="HO45" s="96"/>
      <c r="HP45" s="96"/>
      <c r="HQ45" s="96"/>
      <c r="HR45" s="96"/>
      <c r="HS45" s="96"/>
      <c r="HT45" s="96"/>
      <c r="HU45" s="96"/>
      <c r="HV45" s="96"/>
      <c r="HW45" s="96"/>
      <c r="HX45" s="96"/>
      <c r="HY45" s="96"/>
      <c r="HZ45" s="96"/>
      <c r="IA45" s="96"/>
      <c r="IB45" s="96"/>
      <c r="IC45" s="96"/>
      <c r="ID45" s="96"/>
      <c r="IE45" s="96"/>
      <c r="IF45" s="96"/>
      <c r="IG45" s="96"/>
      <c r="IH45" s="96"/>
      <c r="II45" s="96"/>
      <c r="IJ45" s="96"/>
      <c r="IK45" s="96"/>
      <c r="IL45" s="96"/>
      <c r="IM45" s="96"/>
    </row>
    <row r="46" spans="1:247" s="87" customFormat="1" ht="45">
      <c r="A46" s="81">
        <f>+A45+1</f>
        <v>14</v>
      </c>
      <c r="B46" s="82" t="s">
        <v>86</v>
      </c>
      <c r="C46" s="82"/>
      <c r="D46" s="81" t="s">
        <v>9</v>
      </c>
      <c r="E46" s="83"/>
      <c r="F46" s="83"/>
      <c r="G46" s="84"/>
      <c r="H46" s="83"/>
      <c r="I46" s="84">
        <f>+SUM(I47:I50)</f>
        <v>26.16</v>
      </c>
      <c r="J46" s="85"/>
      <c r="K46" s="86"/>
      <c r="L46" s="86"/>
      <c r="M46" s="86"/>
      <c r="N46" s="86"/>
      <c r="O46" s="86"/>
      <c r="P46" s="86"/>
      <c r="Q46" s="140"/>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row>
    <row r="47" spans="1:247" s="64" customFormat="1" outlineLevel="1">
      <c r="A47" s="51" t="s">
        <v>170</v>
      </c>
      <c r="B47" s="77" t="s">
        <v>87</v>
      </c>
      <c r="C47" s="52"/>
      <c r="D47" s="53" t="s">
        <v>9</v>
      </c>
      <c r="E47" s="54">
        <v>1</v>
      </c>
      <c r="F47" s="54">
        <f>16.4-12.8+1.2</f>
        <v>4.799999999999998</v>
      </c>
      <c r="G47" s="78">
        <v>3.4</v>
      </c>
      <c r="H47" s="55"/>
      <c r="I47" s="55"/>
      <c r="J47" s="57"/>
      <c r="K47" s="79"/>
      <c r="L47" s="80"/>
      <c r="M47" s="63"/>
      <c r="N47" s="63"/>
      <c r="O47" s="63"/>
      <c r="P47" s="63"/>
      <c r="Q47" s="141"/>
      <c r="R47" s="63"/>
      <c r="S47" s="63"/>
      <c r="T47" s="63"/>
      <c r="U47" s="63"/>
      <c r="V47" s="63"/>
      <c r="W47" s="63"/>
      <c r="X47" s="63"/>
      <c r="Y47" s="63"/>
      <c r="Z47" s="63"/>
      <c r="AA47" s="63"/>
      <c r="AB47" s="63"/>
      <c r="AC47" s="63"/>
      <c r="AD47" s="63"/>
      <c r="AE47" s="63"/>
      <c r="AF47" s="63"/>
      <c r="AG47" s="63"/>
      <c r="AH47" s="63"/>
      <c r="AI47" s="63"/>
      <c r="AJ47" s="63"/>
      <c r="AK47" s="63"/>
      <c r="AL47" s="63"/>
      <c r="AM47" s="63"/>
      <c r="AN47" s="63"/>
      <c r="AO47" s="63"/>
      <c r="AP47" s="63"/>
      <c r="AQ47" s="63"/>
      <c r="AR47" s="63"/>
      <c r="AS47" s="63"/>
      <c r="AT47" s="63"/>
      <c r="AU47" s="63"/>
      <c r="AV47" s="63"/>
      <c r="AW47" s="63"/>
      <c r="AX47" s="63"/>
      <c r="AY47" s="63"/>
      <c r="AZ47" s="63"/>
      <c r="BA47" s="63"/>
      <c r="BB47" s="63"/>
      <c r="BC47" s="63"/>
      <c r="BD47" s="63"/>
      <c r="BE47" s="63"/>
      <c r="BF47" s="63"/>
      <c r="BG47" s="63"/>
      <c r="BH47" s="63"/>
      <c r="BI47" s="63"/>
      <c r="BJ47" s="63"/>
      <c r="BK47" s="63"/>
      <c r="BL47" s="63"/>
      <c r="BM47" s="63"/>
      <c r="BN47" s="63"/>
      <c r="BO47" s="63"/>
      <c r="BP47" s="63"/>
      <c r="BQ47" s="63"/>
      <c r="BR47" s="63"/>
      <c r="BS47" s="63"/>
      <c r="BT47" s="63"/>
      <c r="BU47" s="63"/>
      <c r="BV47" s="63"/>
      <c r="BW47" s="63"/>
      <c r="BX47" s="63"/>
      <c r="BY47" s="63"/>
      <c r="BZ47" s="63"/>
      <c r="CA47" s="63"/>
      <c r="CB47" s="63"/>
      <c r="CC47" s="63"/>
      <c r="CD47" s="63"/>
      <c r="CE47" s="63"/>
      <c r="CF47" s="63"/>
      <c r="CG47" s="63"/>
      <c r="CH47" s="63"/>
      <c r="CI47" s="63"/>
      <c r="CJ47" s="63"/>
      <c r="CK47" s="63"/>
      <c r="CL47" s="63"/>
      <c r="CM47" s="63"/>
      <c r="CN47" s="63"/>
      <c r="CO47" s="63"/>
      <c r="CP47" s="63"/>
      <c r="CQ47" s="63"/>
      <c r="CR47" s="63"/>
      <c r="CS47" s="63"/>
      <c r="CT47" s="63"/>
      <c r="CU47" s="63"/>
      <c r="CV47" s="63"/>
      <c r="CW47" s="63"/>
      <c r="CX47" s="63"/>
      <c r="CY47" s="63"/>
      <c r="CZ47" s="63"/>
      <c r="DA47" s="63"/>
      <c r="DB47" s="63"/>
      <c r="DC47" s="63"/>
      <c r="DD47" s="63"/>
      <c r="DE47" s="63"/>
      <c r="DF47" s="63"/>
      <c r="DG47" s="63"/>
      <c r="DH47" s="63"/>
      <c r="DI47" s="63"/>
      <c r="DJ47" s="63"/>
      <c r="DK47" s="63"/>
      <c r="DL47" s="63"/>
      <c r="DM47" s="63"/>
      <c r="DN47" s="63"/>
      <c r="DO47" s="63"/>
      <c r="DP47" s="63"/>
      <c r="DQ47" s="63"/>
      <c r="DR47" s="63"/>
      <c r="DS47" s="63"/>
      <c r="DT47" s="63"/>
      <c r="DU47" s="63"/>
      <c r="DV47" s="63"/>
      <c r="DW47" s="63"/>
      <c r="DX47" s="63"/>
      <c r="DY47" s="63"/>
      <c r="DZ47" s="63"/>
      <c r="EA47" s="63"/>
      <c r="EB47" s="63"/>
      <c r="EC47" s="63"/>
      <c r="ED47" s="63"/>
      <c r="EE47" s="63"/>
      <c r="EF47" s="63"/>
      <c r="EG47" s="63"/>
      <c r="EH47" s="63"/>
      <c r="EI47" s="63"/>
      <c r="EJ47" s="63"/>
      <c r="EK47" s="63"/>
      <c r="EL47" s="63"/>
      <c r="EM47" s="63"/>
      <c r="EN47" s="63"/>
      <c r="EO47" s="63"/>
      <c r="EP47" s="63"/>
      <c r="EQ47" s="63"/>
      <c r="ER47" s="63"/>
      <c r="ES47" s="63"/>
      <c r="ET47" s="63"/>
      <c r="EU47" s="63"/>
      <c r="EV47" s="63"/>
      <c r="EW47" s="63"/>
      <c r="EX47" s="63"/>
      <c r="EY47" s="63"/>
      <c r="EZ47" s="63"/>
      <c r="FA47" s="63"/>
      <c r="FB47" s="63"/>
      <c r="FC47" s="63"/>
      <c r="FD47" s="63"/>
      <c r="FE47" s="63"/>
      <c r="FF47" s="63"/>
      <c r="FG47" s="63"/>
      <c r="FH47" s="63"/>
      <c r="FI47" s="63"/>
      <c r="FJ47" s="63"/>
      <c r="FK47" s="63"/>
      <c r="FL47" s="63"/>
      <c r="FM47" s="63"/>
      <c r="FN47" s="63"/>
      <c r="FO47" s="63"/>
      <c r="FP47" s="63"/>
      <c r="FQ47" s="63"/>
      <c r="FR47" s="63"/>
      <c r="FS47" s="63"/>
      <c r="FT47" s="63"/>
      <c r="FU47" s="63"/>
      <c r="FV47" s="63"/>
      <c r="FW47" s="63"/>
      <c r="FX47" s="63"/>
      <c r="FY47" s="63"/>
      <c r="FZ47" s="63"/>
      <c r="GA47" s="63"/>
      <c r="GB47" s="63"/>
      <c r="GC47" s="63"/>
      <c r="GD47" s="63"/>
      <c r="GE47" s="63"/>
      <c r="GF47" s="63"/>
      <c r="GG47" s="63"/>
      <c r="GH47" s="63"/>
      <c r="GI47" s="63"/>
      <c r="GJ47" s="63"/>
      <c r="GK47" s="63"/>
      <c r="GL47" s="63"/>
      <c r="GM47" s="63"/>
      <c r="GN47" s="63"/>
      <c r="GO47" s="63"/>
      <c r="GP47" s="63"/>
      <c r="GQ47" s="63"/>
      <c r="GR47" s="63"/>
      <c r="GS47" s="63"/>
      <c r="GT47" s="63"/>
      <c r="GU47" s="63"/>
      <c r="GV47" s="63"/>
      <c r="GW47" s="63"/>
      <c r="GX47" s="63"/>
      <c r="GY47" s="63"/>
      <c r="GZ47" s="63"/>
      <c r="HA47" s="63"/>
      <c r="HB47" s="63"/>
      <c r="HC47" s="63"/>
      <c r="HD47" s="63"/>
      <c r="HE47" s="63"/>
      <c r="HF47" s="63"/>
      <c r="HG47" s="63"/>
      <c r="HH47" s="63"/>
      <c r="HI47" s="63"/>
      <c r="HJ47" s="63"/>
      <c r="HK47" s="63"/>
      <c r="HL47" s="63"/>
      <c r="HM47" s="63"/>
      <c r="HN47" s="63"/>
      <c r="HO47" s="63"/>
      <c r="HP47" s="63"/>
      <c r="HQ47" s="63"/>
      <c r="HR47" s="63"/>
      <c r="HS47" s="63"/>
      <c r="HT47" s="63"/>
      <c r="HU47" s="63"/>
      <c r="HV47" s="63"/>
      <c r="HW47" s="63"/>
      <c r="HX47" s="63"/>
      <c r="HY47" s="63"/>
      <c r="HZ47" s="63"/>
      <c r="IA47" s="63"/>
      <c r="IB47" s="63"/>
      <c r="IC47" s="63"/>
      <c r="ID47" s="63"/>
      <c r="IE47" s="63"/>
      <c r="IF47" s="63"/>
      <c r="IG47" s="63"/>
      <c r="IH47" s="63"/>
      <c r="II47" s="63"/>
      <c r="IJ47" s="63"/>
      <c r="IK47" s="63"/>
      <c r="IL47" s="63"/>
      <c r="IM47" s="63"/>
    </row>
    <row r="48" spans="1:247" s="64" customFormat="1" outlineLevel="1">
      <c r="A48" s="51" t="s">
        <v>171</v>
      </c>
      <c r="B48" s="77" t="s">
        <v>88</v>
      </c>
      <c r="C48" s="52"/>
      <c r="D48" s="53" t="s">
        <v>9</v>
      </c>
      <c r="E48" s="54">
        <v>2</v>
      </c>
      <c r="F48" s="54">
        <f>3.6+1.2+3.4</f>
        <v>8.1999999999999993</v>
      </c>
      <c r="G48" s="78"/>
      <c r="H48" s="55">
        <v>0.3</v>
      </c>
      <c r="I48" s="55">
        <f t="shared" ref="I48:I50" si="7">+PRODUCT(E48:H48)</f>
        <v>4.919999999999999</v>
      </c>
      <c r="J48" s="57"/>
      <c r="K48" s="79"/>
      <c r="L48" s="80"/>
      <c r="M48" s="63"/>
      <c r="N48" s="63"/>
      <c r="O48" s="63"/>
      <c r="P48" s="63"/>
      <c r="Q48" s="141"/>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63"/>
      <c r="BK48" s="63"/>
      <c r="BL48" s="63"/>
      <c r="BM48" s="63"/>
      <c r="BN48" s="63"/>
      <c r="BO48" s="63"/>
      <c r="BP48" s="63"/>
      <c r="BQ48" s="63"/>
      <c r="BR48" s="63"/>
      <c r="BS48" s="63"/>
      <c r="BT48" s="63"/>
      <c r="BU48" s="63"/>
      <c r="BV48" s="63"/>
      <c r="BW48" s="63"/>
      <c r="BX48" s="63"/>
      <c r="BY48" s="63"/>
      <c r="BZ48" s="63"/>
      <c r="CA48" s="63"/>
      <c r="CB48" s="63"/>
      <c r="CC48" s="63"/>
      <c r="CD48" s="63"/>
      <c r="CE48" s="63"/>
      <c r="CF48" s="63"/>
      <c r="CG48" s="63"/>
      <c r="CH48" s="63"/>
      <c r="CI48" s="63"/>
      <c r="CJ48" s="63"/>
      <c r="CK48" s="63"/>
      <c r="CL48" s="63"/>
      <c r="CM48" s="63"/>
      <c r="CN48" s="63"/>
      <c r="CO48" s="63"/>
      <c r="CP48" s="63"/>
      <c r="CQ48" s="63"/>
      <c r="CR48" s="63"/>
      <c r="CS48" s="63"/>
      <c r="CT48" s="63"/>
      <c r="CU48" s="63"/>
      <c r="CV48" s="63"/>
      <c r="CW48" s="63"/>
      <c r="CX48" s="63"/>
      <c r="CY48" s="63"/>
      <c r="CZ48" s="63"/>
      <c r="DA48" s="63"/>
      <c r="DB48" s="63"/>
      <c r="DC48" s="63"/>
      <c r="DD48" s="63"/>
      <c r="DE48" s="63"/>
      <c r="DF48" s="63"/>
      <c r="DG48" s="63"/>
      <c r="DH48" s="63"/>
      <c r="DI48" s="63"/>
      <c r="DJ48" s="63"/>
      <c r="DK48" s="63"/>
      <c r="DL48" s="63"/>
      <c r="DM48" s="63"/>
      <c r="DN48" s="63"/>
      <c r="DO48" s="63"/>
      <c r="DP48" s="63"/>
      <c r="DQ48" s="63"/>
      <c r="DR48" s="63"/>
      <c r="DS48" s="63"/>
      <c r="DT48" s="63"/>
      <c r="DU48" s="63"/>
      <c r="DV48" s="63"/>
      <c r="DW48" s="63"/>
      <c r="DX48" s="63"/>
      <c r="DY48" s="63"/>
      <c r="DZ48" s="63"/>
      <c r="EA48" s="63"/>
      <c r="EB48" s="63"/>
      <c r="EC48" s="63"/>
      <c r="ED48" s="63"/>
      <c r="EE48" s="63"/>
      <c r="EF48" s="63"/>
      <c r="EG48" s="63"/>
      <c r="EH48" s="63"/>
      <c r="EI48" s="63"/>
      <c r="EJ48" s="63"/>
      <c r="EK48" s="63"/>
      <c r="EL48" s="63"/>
      <c r="EM48" s="63"/>
      <c r="EN48" s="63"/>
      <c r="EO48" s="63"/>
      <c r="EP48" s="63"/>
      <c r="EQ48" s="63"/>
      <c r="ER48" s="63"/>
      <c r="ES48" s="63"/>
      <c r="ET48" s="63"/>
      <c r="EU48" s="63"/>
      <c r="EV48" s="63"/>
      <c r="EW48" s="63"/>
      <c r="EX48" s="63"/>
      <c r="EY48" s="63"/>
      <c r="EZ48" s="63"/>
      <c r="FA48" s="63"/>
      <c r="FB48" s="63"/>
      <c r="FC48" s="63"/>
      <c r="FD48" s="63"/>
      <c r="FE48" s="63"/>
      <c r="FF48" s="63"/>
      <c r="FG48" s="63"/>
      <c r="FH48" s="63"/>
      <c r="FI48" s="63"/>
      <c r="FJ48" s="63"/>
      <c r="FK48" s="63"/>
      <c r="FL48" s="63"/>
      <c r="FM48" s="63"/>
      <c r="FN48" s="63"/>
      <c r="FO48" s="63"/>
      <c r="FP48" s="63"/>
      <c r="FQ48" s="63"/>
      <c r="FR48" s="63"/>
      <c r="FS48" s="63"/>
      <c r="FT48" s="63"/>
      <c r="FU48" s="63"/>
      <c r="FV48" s="63"/>
      <c r="FW48" s="63"/>
      <c r="FX48" s="63"/>
      <c r="FY48" s="63"/>
      <c r="FZ48" s="63"/>
      <c r="GA48" s="63"/>
      <c r="GB48" s="63"/>
      <c r="GC48" s="63"/>
      <c r="GD48" s="63"/>
      <c r="GE48" s="63"/>
      <c r="GF48" s="63"/>
      <c r="GG48" s="63"/>
      <c r="GH48" s="63"/>
      <c r="GI48" s="63"/>
      <c r="GJ48" s="63"/>
      <c r="GK48" s="63"/>
      <c r="GL48" s="63"/>
      <c r="GM48" s="63"/>
      <c r="GN48" s="63"/>
      <c r="GO48" s="63"/>
      <c r="GP48" s="63"/>
      <c r="GQ48" s="63"/>
      <c r="GR48" s="63"/>
      <c r="GS48" s="63"/>
      <c r="GT48" s="63"/>
      <c r="GU48" s="63"/>
      <c r="GV48" s="63"/>
      <c r="GW48" s="63"/>
      <c r="GX48" s="63"/>
      <c r="GY48" s="63"/>
      <c r="GZ48" s="63"/>
      <c r="HA48" s="63"/>
      <c r="HB48" s="63"/>
      <c r="HC48" s="63"/>
      <c r="HD48" s="63"/>
      <c r="HE48" s="63"/>
      <c r="HF48" s="63"/>
      <c r="HG48" s="63"/>
      <c r="HH48" s="63"/>
      <c r="HI48" s="63"/>
      <c r="HJ48" s="63"/>
      <c r="HK48" s="63"/>
      <c r="HL48" s="63"/>
      <c r="HM48" s="63"/>
      <c r="HN48" s="63"/>
      <c r="HO48" s="63"/>
      <c r="HP48" s="63"/>
      <c r="HQ48" s="63"/>
      <c r="HR48" s="63"/>
      <c r="HS48" s="63"/>
      <c r="HT48" s="63"/>
      <c r="HU48" s="63"/>
      <c r="HV48" s="63"/>
      <c r="HW48" s="63"/>
      <c r="HX48" s="63"/>
      <c r="HY48" s="63"/>
      <c r="HZ48" s="63"/>
      <c r="IA48" s="63"/>
      <c r="IB48" s="63"/>
      <c r="IC48" s="63"/>
      <c r="ID48" s="63"/>
      <c r="IE48" s="63"/>
      <c r="IF48" s="63"/>
      <c r="IG48" s="63"/>
      <c r="IH48" s="63"/>
      <c r="II48" s="63"/>
      <c r="IJ48" s="63"/>
      <c r="IK48" s="63"/>
      <c r="IL48" s="63"/>
      <c r="IM48" s="63"/>
    </row>
    <row r="49" spans="1:247" s="64" customFormat="1" outlineLevel="1">
      <c r="A49" s="51" t="s">
        <v>172</v>
      </c>
      <c r="B49" s="77" t="s">
        <v>89</v>
      </c>
      <c r="C49" s="52"/>
      <c r="D49" s="53" t="s">
        <v>9</v>
      </c>
      <c r="E49" s="54">
        <v>1</v>
      </c>
      <c r="F49" s="54">
        <f>20-16.4+1.2</f>
        <v>4.8000000000000016</v>
      </c>
      <c r="G49" s="78">
        <v>3.4</v>
      </c>
      <c r="H49" s="55"/>
      <c r="I49" s="55">
        <f t="shared" si="7"/>
        <v>16.320000000000004</v>
      </c>
      <c r="J49" s="57"/>
      <c r="K49" s="79"/>
      <c r="L49" s="80"/>
      <c r="M49" s="63"/>
      <c r="N49" s="63"/>
      <c r="O49" s="63"/>
      <c r="P49" s="63"/>
      <c r="Q49" s="141"/>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c r="BO49" s="63"/>
      <c r="BP49" s="63"/>
      <c r="BQ49" s="63"/>
      <c r="BR49" s="63"/>
      <c r="BS49" s="63"/>
      <c r="BT49" s="63"/>
      <c r="BU49" s="63"/>
      <c r="BV49" s="63"/>
      <c r="BW49" s="63"/>
      <c r="BX49" s="63"/>
      <c r="BY49" s="63"/>
      <c r="BZ49" s="63"/>
      <c r="CA49" s="63"/>
      <c r="CB49" s="63"/>
      <c r="CC49" s="63"/>
      <c r="CD49" s="63"/>
      <c r="CE49" s="63"/>
      <c r="CF49" s="63"/>
      <c r="CG49" s="63"/>
      <c r="CH49" s="63"/>
      <c r="CI49" s="63"/>
      <c r="CJ49" s="63"/>
      <c r="CK49" s="63"/>
      <c r="CL49" s="63"/>
      <c r="CM49" s="63"/>
      <c r="CN49" s="63"/>
      <c r="CO49" s="63"/>
      <c r="CP49" s="63"/>
      <c r="CQ49" s="63"/>
      <c r="CR49" s="63"/>
      <c r="CS49" s="63"/>
      <c r="CT49" s="63"/>
      <c r="CU49" s="63"/>
      <c r="CV49" s="63"/>
      <c r="CW49" s="63"/>
      <c r="CX49" s="63"/>
      <c r="CY49" s="63"/>
      <c r="CZ49" s="63"/>
      <c r="DA49" s="63"/>
      <c r="DB49" s="63"/>
      <c r="DC49" s="63"/>
      <c r="DD49" s="63"/>
      <c r="DE49" s="63"/>
      <c r="DF49" s="63"/>
      <c r="DG49" s="63"/>
      <c r="DH49" s="63"/>
      <c r="DI49" s="63"/>
      <c r="DJ49" s="63"/>
      <c r="DK49" s="63"/>
      <c r="DL49" s="63"/>
      <c r="DM49" s="63"/>
      <c r="DN49" s="63"/>
      <c r="DO49" s="63"/>
      <c r="DP49" s="63"/>
      <c r="DQ49" s="63"/>
      <c r="DR49" s="63"/>
      <c r="DS49" s="63"/>
      <c r="DT49" s="63"/>
      <c r="DU49" s="63"/>
      <c r="DV49" s="63"/>
      <c r="DW49" s="63"/>
      <c r="DX49" s="63"/>
      <c r="DY49" s="63"/>
      <c r="DZ49" s="63"/>
      <c r="EA49" s="63"/>
      <c r="EB49" s="63"/>
      <c r="EC49" s="63"/>
      <c r="ED49" s="63"/>
      <c r="EE49" s="63"/>
      <c r="EF49" s="63"/>
      <c r="EG49" s="63"/>
      <c r="EH49" s="63"/>
      <c r="EI49" s="63"/>
      <c r="EJ49" s="63"/>
      <c r="EK49" s="63"/>
      <c r="EL49" s="63"/>
      <c r="EM49" s="63"/>
      <c r="EN49" s="63"/>
      <c r="EO49" s="63"/>
      <c r="EP49" s="63"/>
      <c r="EQ49" s="63"/>
      <c r="ER49" s="63"/>
      <c r="ES49" s="63"/>
      <c r="ET49" s="63"/>
      <c r="EU49" s="63"/>
      <c r="EV49" s="63"/>
      <c r="EW49" s="63"/>
      <c r="EX49" s="63"/>
      <c r="EY49" s="63"/>
      <c r="EZ49" s="63"/>
      <c r="FA49" s="63"/>
      <c r="FB49" s="63"/>
      <c r="FC49" s="63"/>
      <c r="FD49" s="63"/>
      <c r="FE49" s="63"/>
      <c r="FF49" s="63"/>
      <c r="FG49" s="63"/>
      <c r="FH49" s="63"/>
      <c r="FI49" s="63"/>
      <c r="FJ49" s="63"/>
      <c r="FK49" s="63"/>
      <c r="FL49" s="63"/>
      <c r="FM49" s="63"/>
      <c r="FN49" s="63"/>
      <c r="FO49" s="63"/>
      <c r="FP49" s="63"/>
      <c r="FQ49" s="63"/>
      <c r="FR49" s="63"/>
      <c r="FS49" s="63"/>
      <c r="FT49" s="63"/>
      <c r="FU49" s="63"/>
      <c r="FV49" s="63"/>
      <c r="FW49" s="63"/>
      <c r="FX49" s="63"/>
      <c r="FY49" s="63"/>
      <c r="FZ49" s="63"/>
      <c r="GA49" s="63"/>
      <c r="GB49" s="63"/>
      <c r="GC49" s="63"/>
      <c r="GD49" s="63"/>
      <c r="GE49" s="63"/>
      <c r="GF49" s="63"/>
      <c r="GG49" s="63"/>
      <c r="GH49" s="63"/>
      <c r="GI49" s="63"/>
      <c r="GJ49" s="63"/>
      <c r="GK49" s="63"/>
      <c r="GL49" s="63"/>
      <c r="GM49" s="63"/>
      <c r="GN49" s="63"/>
      <c r="GO49" s="63"/>
      <c r="GP49" s="63"/>
      <c r="GQ49" s="63"/>
      <c r="GR49" s="63"/>
      <c r="GS49" s="63"/>
      <c r="GT49" s="63"/>
      <c r="GU49" s="63"/>
      <c r="GV49" s="63"/>
      <c r="GW49" s="63"/>
      <c r="GX49" s="63"/>
      <c r="GY49" s="63"/>
      <c r="GZ49" s="63"/>
      <c r="HA49" s="63"/>
      <c r="HB49" s="63"/>
      <c r="HC49" s="63"/>
      <c r="HD49" s="63"/>
      <c r="HE49" s="63"/>
      <c r="HF49" s="63"/>
      <c r="HG49" s="63"/>
      <c r="HH49" s="63"/>
      <c r="HI49" s="63"/>
      <c r="HJ49" s="63"/>
      <c r="HK49" s="63"/>
      <c r="HL49" s="63"/>
      <c r="HM49" s="63"/>
      <c r="HN49" s="63"/>
      <c r="HO49" s="63"/>
      <c r="HP49" s="63"/>
      <c r="HQ49" s="63"/>
      <c r="HR49" s="63"/>
      <c r="HS49" s="63"/>
      <c r="HT49" s="63"/>
      <c r="HU49" s="63"/>
      <c r="HV49" s="63"/>
      <c r="HW49" s="63"/>
      <c r="HX49" s="63"/>
      <c r="HY49" s="63"/>
      <c r="HZ49" s="63"/>
      <c r="IA49" s="63"/>
      <c r="IB49" s="63"/>
      <c r="IC49" s="63"/>
      <c r="ID49" s="63"/>
      <c r="IE49" s="63"/>
      <c r="IF49" s="63"/>
      <c r="IG49" s="63"/>
      <c r="IH49" s="63"/>
      <c r="II49" s="63"/>
      <c r="IJ49" s="63"/>
      <c r="IK49" s="63"/>
      <c r="IL49" s="63"/>
      <c r="IM49" s="63"/>
    </row>
    <row r="50" spans="1:247" s="64" customFormat="1" outlineLevel="1">
      <c r="A50" s="51" t="s">
        <v>173</v>
      </c>
      <c r="B50" s="77" t="s">
        <v>90</v>
      </c>
      <c r="C50" s="52"/>
      <c r="D50" s="53" t="s">
        <v>9</v>
      </c>
      <c r="E50" s="54">
        <v>2</v>
      </c>
      <c r="F50" s="54">
        <f>3.6+3.4+1.2</f>
        <v>8.1999999999999993</v>
      </c>
      <c r="G50" s="78"/>
      <c r="H50" s="55">
        <v>0.3</v>
      </c>
      <c r="I50" s="55">
        <f t="shared" si="7"/>
        <v>4.919999999999999</v>
      </c>
      <c r="J50" s="57"/>
      <c r="K50" s="79"/>
      <c r="L50" s="80"/>
      <c r="M50" s="63"/>
      <c r="N50" s="63"/>
      <c r="O50" s="63"/>
      <c r="P50" s="63"/>
      <c r="Q50" s="141"/>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c r="BB50" s="63"/>
      <c r="BC50" s="63"/>
      <c r="BD50" s="63"/>
      <c r="BE50" s="63"/>
      <c r="BF50" s="63"/>
      <c r="BG50" s="63"/>
      <c r="BH50" s="63"/>
      <c r="BI50" s="63"/>
      <c r="BJ50" s="63"/>
      <c r="BK50" s="63"/>
      <c r="BL50" s="63"/>
      <c r="BM50" s="63"/>
      <c r="BN50" s="63"/>
      <c r="BO50" s="63"/>
      <c r="BP50" s="63"/>
      <c r="BQ50" s="63"/>
      <c r="BR50" s="63"/>
      <c r="BS50" s="63"/>
      <c r="BT50" s="63"/>
      <c r="BU50" s="63"/>
      <c r="BV50" s="63"/>
      <c r="BW50" s="63"/>
      <c r="BX50" s="63"/>
      <c r="BY50" s="63"/>
      <c r="BZ50" s="63"/>
      <c r="CA50" s="63"/>
      <c r="CB50" s="63"/>
      <c r="CC50" s="63"/>
      <c r="CD50" s="63"/>
      <c r="CE50" s="63"/>
      <c r="CF50" s="63"/>
      <c r="CG50" s="63"/>
      <c r="CH50" s="63"/>
      <c r="CI50" s="63"/>
      <c r="CJ50" s="63"/>
      <c r="CK50" s="63"/>
      <c r="CL50" s="63"/>
      <c r="CM50" s="63"/>
      <c r="CN50" s="63"/>
      <c r="CO50" s="63"/>
      <c r="CP50" s="63"/>
      <c r="CQ50" s="63"/>
      <c r="CR50" s="63"/>
      <c r="CS50" s="63"/>
      <c r="CT50" s="63"/>
      <c r="CU50" s="63"/>
      <c r="CV50" s="63"/>
      <c r="CW50" s="63"/>
      <c r="CX50" s="63"/>
      <c r="CY50" s="63"/>
      <c r="CZ50" s="63"/>
      <c r="DA50" s="63"/>
      <c r="DB50" s="63"/>
      <c r="DC50" s="63"/>
      <c r="DD50" s="63"/>
      <c r="DE50" s="63"/>
      <c r="DF50" s="63"/>
      <c r="DG50" s="63"/>
      <c r="DH50" s="63"/>
      <c r="DI50" s="63"/>
      <c r="DJ50" s="63"/>
      <c r="DK50" s="63"/>
      <c r="DL50" s="63"/>
      <c r="DM50" s="63"/>
      <c r="DN50" s="63"/>
      <c r="DO50" s="63"/>
      <c r="DP50" s="63"/>
      <c r="DQ50" s="63"/>
      <c r="DR50" s="63"/>
      <c r="DS50" s="63"/>
      <c r="DT50" s="63"/>
      <c r="DU50" s="63"/>
      <c r="DV50" s="63"/>
      <c r="DW50" s="63"/>
      <c r="DX50" s="63"/>
      <c r="DY50" s="63"/>
      <c r="DZ50" s="63"/>
      <c r="EA50" s="63"/>
      <c r="EB50" s="63"/>
      <c r="EC50" s="63"/>
      <c r="ED50" s="63"/>
      <c r="EE50" s="63"/>
      <c r="EF50" s="63"/>
      <c r="EG50" s="63"/>
      <c r="EH50" s="63"/>
      <c r="EI50" s="63"/>
      <c r="EJ50" s="63"/>
      <c r="EK50" s="63"/>
      <c r="EL50" s="63"/>
      <c r="EM50" s="63"/>
      <c r="EN50" s="63"/>
      <c r="EO50" s="63"/>
      <c r="EP50" s="63"/>
      <c r="EQ50" s="63"/>
      <c r="ER50" s="63"/>
      <c r="ES50" s="63"/>
      <c r="ET50" s="63"/>
      <c r="EU50" s="63"/>
      <c r="EV50" s="63"/>
      <c r="EW50" s="63"/>
      <c r="EX50" s="63"/>
      <c r="EY50" s="63"/>
      <c r="EZ50" s="63"/>
      <c r="FA50" s="63"/>
      <c r="FB50" s="63"/>
      <c r="FC50" s="63"/>
      <c r="FD50" s="63"/>
      <c r="FE50" s="63"/>
      <c r="FF50" s="63"/>
      <c r="FG50" s="63"/>
      <c r="FH50" s="63"/>
      <c r="FI50" s="63"/>
      <c r="FJ50" s="63"/>
      <c r="FK50" s="63"/>
      <c r="FL50" s="63"/>
      <c r="FM50" s="63"/>
      <c r="FN50" s="63"/>
      <c r="FO50" s="63"/>
      <c r="FP50" s="63"/>
      <c r="FQ50" s="63"/>
      <c r="FR50" s="63"/>
      <c r="FS50" s="63"/>
      <c r="FT50" s="63"/>
      <c r="FU50" s="63"/>
      <c r="FV50" s="63"/>
      <c r="FW50" s="63"/>
      <c r="FX50" s="63"/>
      <c r="FY50" s="63"/>
      <c r="FZ50" s="63"/>
      <c r="GA50" s="63"/>
      <c r="GB50" s="63"/>
      <c r="GC50" s="63"/>
      <c r="GD50" s="63"/>
      <c r="GE50" s="63"/>
      <c r="GF50" s="63"/>
      <c r="GG50" s="63"/>
      <c r="GH50" s="63"/>
      <c r="GI50" s="63"/>
      <c r="GJ50" s="63"/>
      <c r="GK50" s="63"/>
      <c r="GL50" s="63"/>
      <c r="GM50" s="63"/>
      <c r="GN50" s="63"/>
      <c r="GO50" s="63"/>
      <c r="GP50" s="63"/>
      <c r="GQ50" s="63"/>
      <c r="GR50" s="63"/>
      <c r="GS50" s="63"/>
      <c r="GT50" s="63"/>
      <c r="GU50" s="63"/>
      <c r="GV50" s="63"/>
      <c r="GW50" s="63"/>
      <c r="GX50" s="63"/>
      <c r="GY50" s="63"/>
      <c r="GZ50" s="63"/>
      <c r="HA50" s="63"/>
      <c r="HB50" s="63"/>
      <c r="HC50" s="63"/>
      <c r="HD50" s="63"/>
      <c r="HE50" s="63"/>
      <c r="HF50" s="63"/>
      <c r="HG50" s="63"/>
      <c r="HH50" s="63"/>
      <c r="HI50" s="63"/>
      <c r="HJ50" s="63"/>
      <c r="HK50" s="63"/>
      <c r="HL50" s="63"/>
      <c r="HM50" s="63"/>
      <c r="HN50" s="63"/>
      <c r="HO50" s="63"/>
      <c r="HP50" s="63"/>
      <c r="HQ50" s="63"/>
      <c r="HR50" s="63"/>
      <c r="HS50" s="63"/>
      <c r="HT50" s="63"/>
      <c r="HU50" s="63"/>
      <c r="HV50" s="63"/>
      <c r="HW50" s="63"/>
      <c r="HX50" s="63"/>
      <c r="HY50" s="63"/>
      <c r="HZ50" s="63"/>
      <c r="IA50" s="63"/>
      <c r="IB50" s="63"/>
      <c r="IC50" s="63"/>
      <c r="ID50" s="63"/>
      <c r="IE50" s="63"/>
      <c r="IF50" s="63"/>
      <c r="IG50" s="63"/>
      <c r="IH50" s="63"/>
      <c r="II50" s="63"/>
      <c r="IJ50" s="63"/>
      <c r="IK50" s="63"/>
      <c r="IL50" s="63"/>
      <c r="IM50" s="63"/>
    </row>
    <row r="51" spans="1:247" s="87" customFormat="1" ht="22.5">
      <c r="A51" s="81">
        <f>+A46+1</f>
        <v>15</v>
      </c>
      <c r="B51" s="107" t="s">
        <v>99</v>
      </c>
      <c r="C51" s="82"/>
      <c r="D51" s="81" t="s">
        <v>9</v>
      </c>
      <c r="E51" s="108"/>
      <c r="F51" s="108"/>
      <c r="G51" s="85"/>
      <c r="H51" s="109"/>
      <c r="I51" s="110">
        <f>+SUM(I52:I55)</f>
        <v>165.59999999999997</v>
      </c>
      <c r="J51" s="89"/>
      <c r="K51" s="86"/>
      <c r="L51" s="86"/>
      <c r="M51" s="86"/>
      <c r="N51" s="86"/>
      <c r="O51" s="86"/>
      <c r="P51" s="86"/>
      <c r="Q51" s="140"/>
      <c r="R51" s="86"/>
      <c r="S51" s="86"/>
      <c r="T51" s="86"/>
      <c r="U51" s="86"/>
      <c r="V51" s="86"/>
      <c r="W51" s="86"/>
      <c r="X51" s="86"/>
      <c r="Y51" s="86"/>
      <c r="Z51" s="86"/>
      <c r="AA51" s="86"/>
      <c r="AB51" s="86"/>
      <c r="AC51" s="86"/>
      <c r="AD51" s="86"/>
      <c r="AE51" s="86"/>
      <c r="AF51" s="86"/>
      <c r="AG51" s="86"/>
      <c r="AH51" s="86"/>
      <c r="AI51" s="86"/>
      <c r="AJ51" s="86"/>
      <c r="AK51" s="86"/>
      <c r="AL51" s="86"/>
      <c r="AM51" s="86"/>
      <c r="AN51" s="86"/>
      <c r="AO51" s="86"/>
      <c r="AP51" s="86"/>
      <c r="AQ51" s="86"/>
      <c r="AR51" s="86"/>
      <c r="AS51" s="86"/>
      <c r="AT51" s="86"/>
      <c r="AU51" s="86"/>
      <c r="AV51" s="86"/>
      <c r="AW51" s="86"/>
      <c r="AX51" s="86"/>
      <c r="AY51" s="86"/>
      <c r="AZ51" s="86"/>
      <c r="BA51" s="86"/>
      <c r="BB51" s="86"/>
      <c r="BC51" s="86"/>
      <c r="BD51" s="86"/>
      <c r="BE51" s="86"/>
      <c r="BF51" s="86"/>
      <c r="BG51" s="86"/>
      <c r="BH51" s="86"/>
      <c r="BI51" s="86"/>
      <c r="BJ51" s="86"/>
      <c r="BK51" s="86"/>
      <c r="BL51" s="86"/>
      <c r="BM51" s="86"/>
      <c r="BN51" s="86"/>
      <c r="BO51" s="86"/>
      <c r="BP51" s="86"/>
      <c r="BQ51" s="86"/>
      <c r="BR51" s="86"/>
      <c r="BS51" s="86"/>
      <c r="BT51" s="86"/>
      <c r="BU51" s="86"/>
      <c r="BV51" s="86"/>
      <c r="BW51" s="86"/>
      <c r="BX51" s="86"/>
      <c r="BY51" s="86"/>
      <c r="BZ51" s="86"/>
      <c r="CA51" s="86"/>
      <c r="CB51" s="86"/>
      <c r="CC51" s="86"/>
      <c r="CD51" s="86"/>
      <c r="CE51" s="86"/>
      <c r="CF51" s="86"/>
      <c r="CG51" s="86"/>
      <c r="CH51" s="86"/>
      <c r="CI51" s="86"/>
      <c r="CJ51" s="86"/>
      <c r="CK51" s="86"/>
      <c r="CL51" s="86"/>
      <c r="CM51" s="86"/>
      <c r="CN51" s="86"/>
      <c r="CO51" s="86"/>
      <c r="CP51" s="86"/>
      <c r="CQ51" s="86"/>
      <c r="CR51" s="86"/>
      <c r="CS51" s="86"/>
      <c r="CT51" s="86"/>
      <c r="CU51" s="86"/>
      <c r="CV51" s="86"/>
      <c r="CW51" s="86"/>
      <c r="CX51" s="86"/>
      <c r="CY51" s="86"/>
      <c r="CZ51" s="86"/>
      <c r="DA51" s="86"/>
      <c r="DB51" s="86"/>
      <c r="DC51" s="86"/>
      <c r="DD51" s="86"/>
      <c r="DE51" s="86"/>
      <c r="DF51" s="86"/>
      <c r="DG51" s="86"/>
      <c r="DH51" s="86"/>
      <c r="DI51" s="86"/>
      <c r="DJ51" s="86"/>
      <c r="DK51" s="86"/>
      <c r="DL51" s="86"/>
      <c r="DM51" s="86"/>
      <c r="DN51" s="86"/>
      <c r="DO51" s="86"/>
      <c r="DP51" s="86"/>
      <c r="DQ51" s="86"/>
      <c r="DR51" s="86"/>
      <c r="DS51" s="86"/>
      <c r="DT51" s="86"/>
      <c r="DU51" s="86"/>
      <c r="DV51" s="86"/>
      <c r="DW51" s="86"/>
      <c r="DX51" s="86"/>
      <c r="DY51" s="86"/>
      <c r="DZ51" s="86"/>
      <c r="EA51" s="86"/>
      <c r="EB51" s="86"/>
      <c r="EC51" s="86"/>
      <c r="ED51" s="86"/>
      <c r="EE51" s="86"/>
      <c r="EF51" s="86"/>
      <c r="EG51" s="86"/>
      <c r="EH51" s="86"/>
      <c r="EI51" s="86"/>
      <c r="EJ51" s="86"/>
      <c r="EK51" s="86"/>
      <c r="EL51" s="86"/>
      <c r="EM51" s="86"/>
      <c r="EN51" s="86"/>
      <c r="EO51" s="86"/>
      <c r="EP51" s="86"/>
      <c r="EQ51" s="86"/>
      <c r="ER51" s="86"/>
      <c r="ES51" s="86"/>
      <c r="ET51" s="86"/>
      <c r="EU51" s="86"/>
      <c r="EV51" s="86"/>
      <c r="EW51" s="86"/>
      <c r="EX51" s="86"/>
      <c r="EY51" s="86"/>
      <c r="EZ51" s="86"/>
      <c r="FA51" s="86"/>
      <c r="FB51" s="86"/>
      <c r="FC51" s="86"/>
      <c r="FD51" s="86"/>
      <c r="FE51" s="86"/>
      <c r="FF51" s="86"/>
      <c r="FG51" s="86"/>
      <c r="FH51" s="86"/>
      <c r="FI51" s="86"/>
      <c r="FJ51" s="86"/>
      <c r="FK51" s="86"/>
      <c r="FL51" s="86"/>
      <c r="FM51" s="86"/>
      <c r="FN51" s="86"/>
      <c r="FO51" s="86"/>
      <c r="FP51" s="86"/>
      <c r="FQ51" s="86"/>
      <c r="FR51" s="86"/>
      <c r="FS51" s="86"/>
      <c r="FT51" s="86"/>
      <c r="FU51" s="86"/>
      <c r="FV51" s="86"/>
      <c r="FW51" s="86"/>
      <c r="FX51" s="86"/>
      <c r="FY51" s="86"/>
      <c r="FZ51" s="86"/>
      <c r="GA51" s="86"/>
      <c r="GB51" s="86"/>
      <c r="GC51" s="86"/>
      <c r="GD51" s="86"/>
      <c r="GE51" s="86"/>
      <c r="GF51" s="86"/>
      <c r="GG51" s="86"/>
      <c r="GH51" s="86"/>
      <c r="GI51" s="86"/>
      <c r="GJ51" s="86"/>
      <c r="GK51" s="86"/>
      <c r="GL51" s="86"/>
      <c r="GM51" s="86"/>
      <c r="GN51" s="86"/>
      <c r="GO51" s="86"/>
      <c r="GP51" s="86"/>
      <c r="GQ51" s="86"/>
      <c r="GR51" s="86"/>
      <c r="GS51" s="86"/>
      <c r="GT51" s="86"/>
      <c r="GU51" s="86"/>
      <c r="GV51" s="86"/>
      <c r="GW51" s="86"/>
      <c r="GX51" s="86"/>
      <c r="GY51" s="86"/>
      <c r="GZ51" s="86"/>
      <c r="HA51" s="86"/>
      <c r="HB51" s="86"/>
      <c r="HC51" s="86"/>
      <c r="HD51" s="86"/>
      <c r="HE51" s="86"/>
      <c r="HF51" s="86"/>
      <c r="HG51" s="86"/>
      <c r="HH51" s="86"/>
      <c r="HI51" s="86"/>
      <c r="HJ51" s="86"/>
      <c r="HK51" s="86"/>
      <c r="HL51" s="86"/>
      <c r="HM51" s="86"/>
      <c r="HN51" s="86"/>
      <c r="HO51" s="86"/>
      <c r="HP51" s="86"/>
      <c r="HQ51" s="86"/>
      <c r="HR51" s="86"/>
      <c r="HS51" s="86"/>
      <c r="HT51" s="86"/>
      <c r="HU51" s="86"/>
      <c r="HV51" s="86"/>
      <c r="HW51" s="86"/>
      <c r="HX51" s="86"/>
      <c r="HY51" s="86"/>
      <c r="HZ51" s="86"/>
      <c r="IA51" s="86"/>
      <c r="IB51" s="86"/>
      <c r="IC51" s="86"/>
      <c r="ID51" s="86"/>
      <c r="IE51" s="86"/>
      <c r="IF51" s="86"/>
      <c r="IG51" s="86"/>
      <c r="IH51" s="86"/>
    </row>
    <row r="52" spans="1:247" s="64" customFormat="1" outlineLevel="1">
      <c r="A52" s="51" t="s">
        <v>174</v>
      </c>
      <c r="B52" s="77" t="s">
        <v>103</v>
      </c>
      <c r="C52" s="52"/>
      <c r="D52" s="113" t="s">
        <v>158</v>
      </c>
      <c r="E52" s="56">
        <v>2</v>
      </c>
      <c r="F52" s="55">
        <f>20+3.4</f>
        <v>23.4</v>
      </c>
      <c r="G52" s="57"/>
      <c r="H52" s="93"/>
      <c r="I52" s="55">
        <f t="shared" ref="I52" si="8">+PRODUCT(E52:H52)</f>
        <v>46.8</v>
      </c>
      <c r="J52" s="94"/>
      <c r="K52" s="63"/>
      <c r="L52" s="63"/>
      <c r="M52" s="63"/>
      <c r="N52" s="63"/>
      <c r="O52" s="63"/>
      <c r="P52" s="63"/>
      <c r="Q52" s="141"/>
      <c r="R52" s="63"/>
      <c r="S52" s="63"/>
      <c r="T52" s="63"/>
      <c r="U52" s="63"/>
      <c r="V52" s="63"/>
      <c r="W52" s="63"/>
      <c r="X52" s="63"/>
      <c r="Y52" s="63"/>
      <c r="Z52" s="63"/>
      <c r="AA52" s="63"/>
      <c r="AB52" s="63"/>
      <c r="AC52" s="63"/>
      <c r="AD52" s="63"/>
      <c r="AE52" s="63"/>
      <c r="AF52" s="63"/>
      <c r="AG52" s="63"/>
      <c r="AH52" s="63"/>
      <c r="AI52" s="63"/>
      <c r="AJ52" s="63"/>
      <c r="AK52" s="63"/>
      <c r="AL52" s="63"/>
      <c r="AM52" s="63"/>
      <c r="AN52" s="63"/>
      <c r="AO52" s="63"/>
      <c r="AP52" s="63"/>
      <c r="AQ52" s="63"/>
      <c r="AR52" s="63"/>
      <c r="AS52" s="63"/>
      <c r="AT52" s="63"/>
      <c r="AU52" s="63"/>
      <c r="AV52" s="63"/>
      <c r="AW52" s="63"/>
      <c r="AX52" s="63"/>
      <c r="AY52" s="63"/>
      <c r="AZ52" s="63"/>
      <c r="BA52" s="63"/>
      <c r="BB52" s="63"/>
      <c r="BC52" s="63"/>
      <c r="BD52" s="63"/>
      <c r="BE52" s="63"/>
      <c r="BF52" s="63"/>
      <c r="BG52" s="63"/>
      <c r="BH52" s="63"/>
      <c r="BI52" s="63"/>
      <c r="BJ52" s="63"/>
      <c r="BK52" s="63"/>
      <c r="BL52" s="63"/>
      <c r="BM52" s="63"/>
      <c r="BN52" s="63"/>
      <c r="BO52" s="63"/>
      <c r="BP52" s="63"/>
      <c r="BQ52" s="63"/>
      <c r="BR52" s="63"/>
      <c r="BS52" s="63"/>
      <c r="BT52" s="63"/>
      <c r="BU52" s="63"/>
      <c r="BV52" s="63"/>
      <c r="BW52" s="63"/>
      <c r="BX52" s="63"/>
      <c r="BY52" s="63"/>
      <c r="BZ52" s="63"/>
      <c r="CA52" s="63"/>
      <c r="CB52" s="63"/>
      <c r="CC52" s="63"/>
      <c r="CD52" s="63"/>
      <c r="CE52" s="63"/>
      <c r="CF52" s="63"/>
      <c r="CG52" s="63"/>
      <c r="CH52" s="63"/>
      <c r="CI52" s="63"/>
      <c r="CJ52" s="63"/>
      <c r="CK52" s="63"/>
      <c r="CL52" s="63"/>
      <c r="CM52" s="63"/>
      <c r="CN52" s="63"/>
      <c r="CO52" s="63"/>
      <c r="CP52" s="63"/>
      <c r="CQ52" s="63"/>
      <c r="CR52" s="63"/>
      <c r="CS52" s="63"/>
      <c r="CT52" s="63"/>
      <c r="CU52" s="63"/>
      <c r="CV52" s="63"/>
      <c r="CW52" s="63"/>
      <c r="CX52" s="63"/>
      <c r="CY52" s="63"/>
      <c r="CZ52" s="63"/>
      <c r="DA52" s="63"/>
      <c r="DB52" s="63"/>
      <c r="DC52" s="63"/>
      <c r="DD52" s="63"/>
      <c r="DE52" s="63"/>
      <c r="DF52" s="63"/>
      <c r="DG52" s="63"/>
      <c r="DH52" s="63"/>
      <c r="DI52" s="63"/>
      <c r="DJ52" s="63"/>
      <c r="DK52" s="63"/>
      <c r="DL52" s="63"/>
      <c r="DM52" s="63"/>
      <c r="DN52" s="63"/>
      <c r="DO52" s="63"/>
      <c r="DP52" s="63"/>
      <c r="DQ52" s="63"/>
      <c r="DR52" s="63"/>
      <c r="DS52" s="63"/>
      <c r="DT52" s="63"/>
      <c r="DU52" s="63"/>
      <c r="DV52" s="63"/>
      <c r="DW52" s="63"/>
      <c r="DX52" s="63"/>
      <c r="DY52" s="63"/>
      <c r="DZ52" s="63"/>
      <c r="EA52" s="63"/>
      <c r="EB52" s="63"/>
      <c r="EC52" s="63"/>
      <c r="ED52" s="63"/>
      <c r="EE52" s="63"/>
      <c r="EF52" s="63"/>
      <c r="EG52" s="63"/>
      <c r="EH52" s="63"/>
      <c r="EI52" s="63"/>
      <c r="EJ52" s="63"/>
      <c r="EK52" s="63"/>
      <c r="EL52" s="63"/>
      <c r="EM52" s="63"/>
      <c r="EN52" s="63"/>
      <c r="EO52" s="63"/>
      <c r="EP52" s="63"/>
      <c r="EQ52" s="63"/>
      <c r="ER52" s="63"/>
      <c r="ES52" s="63"/>
      <c r="ET52" s="63"/>
      <c r="EU52" s="63"/>
      <c r="EV52" s="63"/>
      <c r="EW52" s="63"/>
      <c r="EX52" s="63"/>
      <c r="EY52" s="63"/>
      <c r="EZ52" s="63"/>
      <c r="FA52" s="63"/>
      <c r="FB52" s="63"/>
      <c r="FC52" s="63"/>
      <c r="FD52" s="63"/>
      <c r="FE52" s="63"/>
      <c r="FF52" s="63"/>
      <c r="FG52" s="63"/>
      <c r="FH52" s="63"/>
      <c r="FI52" s="63"/>
      <c r="FJ52" s="63"/>
      <c r="FK52" s="63"/>
      <c r="FL52" s="63"/>
      <c r="FM52" s="63"/>
      <c r="FN52" s="63"/>
      <c r="FO52" s="63"/>
      <c r="FP52" s="63"/>
      <c r="FQ52" s="63"/>
      <c r="FR52" s="63"/>
      <c r="FS52" s="63"/>
      <c r="FT52" s="63"/>
      <c r="FU52" s="63"/>
      <c r="FV52" s="63"/>
      <c r="FW52" s="63"/>
      <c r="FX52" s="63"/>
      <c r="FY52" s="63"/>
      <c r="FZ52" s="63"/>
      <c r="GA52" s="63"/>
      <c r="GB52" s="63"/>
      <c r="GC52" s="63"/>
      <c r="GD52" s="63"/>
      <c r="GE52" s="63"/>
      <c r="GF52" s="63"/>
      <c r="GG52" s="63"/>
      <c r="GH52" s="63"/>
      <c r="GI52" s="63"/>
      <c r="GJ52" s="63"/>
      <c r="GK52" s="63"/>
      <c r="GL52" s="63"/>
      <c r="GM52" s="63"/>
      <c r="GN52" s="63"/>
      <c r="GO52" s="63"/>
      <c r="GP52" s="63"/>
      <c r="GQ52" s="63"/>
      <c r="GR52" s="63"/>
      <c r="GS52" s="63"/>
      <c r="GT52" s="63"/>
      <c r="GU52" s="63"/>
      <c r="GV52" s="63"/>
      <c r="GW52" s="63"/>
      <c r="GX52" s="63"/>
      <c r="GY52" s="63"/>
      <c r="GZ52" s="63"/>
      <c r="HA52" s="63"/>
      <c r="HB52" s="63"/>
      <c r="HC52" s="63"/>
      <c r="HD52" s="63"/>
      <c r="HE52" s="63"/>
      <c r="HF52" s="63"/>
      <c r="HG52" s="63"/>
      <c r="HH52" s="63"/>
      <c r="HI52" s="63"/>
      <c r="HJ52" s="63"/>
      <c r="HK52" s="63"/>
      <c r="HL52" s="63"/>
      <c r="HM52" s="63"/>
      <c r="HN52" s="63"/>
      <c r="HO52" s="63"/>
      <c r="HP52" s="63"/>
      <c r="HQ52" s="63"/>
      <c r="HR52" s="63"/>
      <c r="HS52" s="63"/>
      <c r="HT52" s="63"/>
      <c r="HU52" s="63"/>
      <c r="HV52" s="63"/>
      <c r="HW52" s="63"/>
      <c r="HX52" s="63"/>
      <c r="HY52" s="63"/>
      <c r="HZ52" s="63"/>
      <c r="IA52" s="63"/>
      <c r="IB52" s="63"/>
      <c r="IC52" s="63"/>
      <c r="ID52" s="63"/>
      <c r="IE52" s="63"/>
      <c r="IF52" s="63"/>
      <c r="IG52" s="63"/>
      <c r="IH52" s="63"/>
    </row>
    <row r="53" spans="1:247" s="64" customFormat="1" outlineLevel="1">
      <c r="A53" s="51" t="s">
        <v>175</v>
      </c>
      <c r="B53" s="77" t="s">
        <v>104</v>
      </c>
      <c r="C53" s="52"/>
      <c r="D53" s="113" t="s">
        <v>158</v>
      </c>
      <c r="E53" s="56">
        <v>2</v>
      </c>
      <c r="F53" s="55">
        <f>16.4+3.4</f>
        <v>19.799999999999997</v>
      </c>
      <c r="G53" s="57"/>
      <c r="H53" s="93"/>
      <c r="I53" s="55">
        <f t="shared" ref="I53:I54" si="9">+PRODUCT(E53:H53)</f>
        <v>39.599999999999994</v>
      </c>
      <c r="J53" s="94"/>
      <c r="K53" s="63"/>
      <c r="L53" s="63"/>
      <c r="M53" s="63"/>
      <c r="N53" s="63"/>
      <c r="O53" s="63"/>
      <c r="P53" s="63"/>
      <c r="Q53" s="141"/>
      <c r="R53" s="63"/>
      <c r="S53" s="63"/>
      <c r="T53" s="63"/>
      <c r="U53" s="63"/>
      <c r="V53" s="63"/>
      <c r="W53" s="63"/>
      <c r="X53" s="63"/>
      <c r="Y53" s="63"/>
      <c r="Z53" s="63"/>
      <c r="AA53" s="63"/>
      <c r="AB53" s="63"/>
      <c r="AC53" s="63"/>
      <c r="AD53" s="63"/>
      <c r="AE53" s="63"/>
      <c r="AF53" s="63"/>
      <c r="AG53" s="63"/>
      <c r="AH53" s="63"/>
      <c r="AI53" s="63"/>
      <c r="AJ53" s="63"/>
      <c r="AK53" s="63"/>
      <c r="AL53" s="63"/>
      <c r="AM53" s="63"/>
      <c r="AN53" s="63"/>
      <c r="AO53" s="63"/>
      <c r="AP53" s="63"/>
      <c r="AQ53" s="63"/>
      <c r="AR53" s="63"/>
      <c r="AS53" s="63"/>
      <c r="AT53" s="63"/>
      <c r="AU53" s="63"/>
      <c r="AV53" s="63"/>
      <c r="AW53" s="63"/>
      <c r="AX53" s="63"/>
      <c r="AY53" s="63"/>
      <c r="AZ53" s="63"/>
      <c r="BA53" s="63"/>
      <c r="BB53" s="63"/>
      <c r="BC53" s="63"/>
      <c r="BD53" s="63"/>
      <c r="BE53" s="63"/>
      <c r="BF53" s="63"/>
      <c r="BG53" s="63"/>
      <c r="BH53" s="63"/>
      <c r="BI53" s="63"/>
      <c r="BJ53" s="63"/>
      <c r="BK53" s="63"/>
      <c r="BL53" s="63"/>
      <c r="BM53" s="63"/>
      <c r="BN53" s="63"/>
      <c r="BO53" s="63"/>
      <c r="BP53" s="63"/>
      <c r="BQ53" s="63"/>
      <c r="BR53" s="63"/>
      <c r="BS53" s="63"/>
      <c r="BT53" s="63"/>
      <c r="BU53" s="63"/>
      <c r="BV53" s="63"/>
      <c r="BW53" s="63"/>
      <c r="BX53" s="63"/>
      <c r="BY53" s="63"/>
      <c r="BZ53" s="63"/>
      <c r="CA53" s="63"/>
      <c r="CB53" s="63"/>
      <c r="CC53" s="63"/>
      <c r="CD53" s="63"/>
      <c r="CE53" s="63"/>
      <c r="CF53" s="63"/>
      <c r="CG53" s="63"/>
      <c r="CH53" s="63"/>
      <c r="CI53" s="63"/>
      <c r="CJ53" s="63"/>
      <c r="CK53" s="63"/>
      <c r="CL53" s="63"/>
      <c r="CM53" s="63"/>
      <c r="CN53" s="63"/>
      <c r="CO53" s="63"/>
      <c r="CP53" s="63"/>
      <c r="CQ53" s="63"/>
      <c r="CR53" s="63"/>
      <c r="CS53" s="63"/>
      <c r="CT53" s="63"/>
      <c r="CU53" s="63"/>
      <c r="CV53" s="63"/>
      <c r="CW53" s="63"/>
      <c r="CX53" s="63"/>
      <c r="CY53" s="63"/>
      <c r="CZ53" s="63"/>
      <c r="DA53" s="63"/>
      <c r="DB53" s="63"/>
      <c r="DC53" s="63"/>
      <c r="DD53" s="63"/>
      <c r="DE53" s="63"/>
      <c r="DF53" s="63"/>
      <c r="DG53" s="63"/>
      <c r="DH53" s="63"/>
      <c r="DI53" s="63"/>
      <c r="DJ53" s="63"/>
      <c r="DK53" s="63"/>
      <c r="DL53" s="63"/>
      <c r="DM53" s="63"/>
      <c r="DN53" s="63"/>
      <c r="DO53" s="63"/>
      <c r="DP53" s="63"/>
      <c r="DQ53" s="63"/>
      <c r="DR53" s="63"/>
      <c r="DS53" s="63"/>
      <c r="DT53" s="63"/>
      <c r="DU53" s="63"/>
      <c r="DV53" s="63"/>
      <c r="DW53" s="63"/>
      <c r="DX53" s="63"/>
      <c r="DY53" s="63"/>
      <c r="DZ53" s="63"/>
      <c r="EA53" s="63"/>
      <c r="EB53" s="63"/>
      <c r="EC53" s="63"/>
      <c r="ED53" s="63"/>
      <c r="EE53" s="63"/>
      <c r="EF53" s="63"/>
      <c r="EG53" s="63"/>
      <c r="EH53" s="63"/>
      <c r="EI53" s="63"/>
      <c r="EJ53" s="63"/>
      <c r="EK53" s="63"/>
      <c r="EL53" s="63"/>
      <c r="EM53" s="63"/>
      <c r="EN53" s="63"/>
      <c r="EO53" s="63"/>
      <c r="EP53" s="63"/>
      <c r="EQ53" s="63"/>
      <c r="ER53" s="63"/>
      <c r="ES53" s="63"/>
      <c r="ET53" s="63"/>
      <c r="EU53" s="63"/>
      <c r="EV53" s="63"/>
      <c r="EW53" s="63"/>
      <c r="EX53" s="63"/>
      <c r="EY53" s="63"/>
      <c r="EZ53" s="63"/>
      <c r="FA53" s="63"/>
      <c r="FB53" s="63"/>
      <c r="FC53" s="63"/>
      <c r="FD53" s="63"/>
      <c r="FE53" s="63"/>
      <c r="FF53" s="63"/>
      <c r="FG53" s="63"/>
      <c r="FH53" s="63"/>
      <c r="FI53" s="63"/>
      <c r="FJ53" s="63"/>
      <c r="FK53" s="63"/>
      <c r="FL53" s="63"/>
      <c r="FM53" s="63"/>
      <c r="FN53" s="63"/>
      <c r="FO53" s="63"/>
      <c r="FP53" s="63"/>
      <c r="FQ53" s="63"/>
      <c r="FR53" s="63"/>
      <c r="FS53" s="63"/>
      <c r="FT53" s="63"/>
      <c r="FU53" s="63"/>
      <c r="FV53" s="63"/>
      <c r="FW53" s="63"/>
      <c r="FX53" s="63"/>
      <c r="FY53" s="63"/>
      <c r="FZ53" s="63"/>
      <c r="GA53" s="63"/>
      <c r="GB53" s="63"/>
      <c r="GC53" s="63"/>
      <c r="GD53" s="63"/>
      <c r="GE53" s="63"/>
      <c r="GF53" s="63"/>
      <c r="GG53" s="63"/>
      <c r="GH53" s="63"/>
      <c r="GI53" s="63"/>
      <c r="GJ53" s="63"/>
      <c r="GK53" s="63"/>
      <c r="GL53" s="63"/>
      <c r="GM53" s="63"/>
      <c r="GN53" s="63"/>
      <c r="GO53" s="63"/>
      <c r="GP53" s="63"/>
      <c r="GQ53" s="63"/>
      <c r="GR53" s="63"/>
      <c r="GS53" s="63"/>
      <c r="GT53" s="63"/>
      <c r="GU53" s="63"/>
      <c r="GV53" s="63"/>
      <c r="GW53" s="63"/>
      <c r="GX53" s="63"/>
      <c r="GY53" s="63"/>
      <c r="GZ53" s="63"/>
      <c r="HA53" s="63"/>
      <c r="HB53" s="63"/>
      <c r="HC53" s="63"/>
      <c r="HD53" s="63"/>
      <c r="HE53" s="63"/>
      <c r="HF53" s="63"/>
      <c r="HG53" s="63"/>
      <c r="HH53" s="63"/>
      <c r="HI53" s="63"/>
      <c r="HJ53" s="63"/>
      <c r="HK53" s="63"/>
      <c r="HL53" s="63"/>
      <c r="HM53" s="63"/>
      <c r="HN53" s="63"/>
      <c r="HO53" s="63"/>
      <c r="HP53" s="63"/>
      <c r="HQ53" s="63"/>
      <c r="HR53" s="63"/>
      <c r="HS53" s="63"/>
      <c r="HT53" s="63"/>
      <c r="HU53" s="63"/>
      <c r="HV53" s="63"/>
      <c r="HW53" s="63"/>
      <c r="HX53" s="63"/>
      <c r="HY53" s="63"/>
      <c r="HZ53" s="63"/>
      <c r="IA53" s="63"/>
      <c r="IB53" s="63"/>
      <c r="IC53" s="63"/>
      <c r="ID53" s="63"/>
      <c r="IE53" s="63"/>
      <c r="IF53" s="63"/>
      <c r="IG53" s="63"/>
      <c r="IH53" s="63"/>
    </row>
    <row r="54" spans="1:247" s="64" customFormat="1" outlineLevel="1">
      <c r="A54" s="51" t="s">
        <v>176</v>
      </c>
      <c r="B54" s="77" t="s">
        <v>105</v>
      </c>
      <c r="C54" s="52"/>
      <c r="D54" s="113" t="s">
        <v>158</v>
      </c>
      <c r="E54" s="56">
        <v>2</v>
      </c>
      <c r="F54" s="55">
        <f>16.4+3.4</f>
        <v>19.799999999999997</v>
      </c>
      <c r="G54" s="57"/>
      <c r="H54" s="93"/>
      <c r="I54" s="55">
        <f t="shared" si="9"/>
        <v>39.599999999999994</v>
      </c>
      <c r="J54" s="94"/>
      <c r="K54" s="63"/>
      <c r="L54" s="63"/>
      <c r="M54" s="63"/>
      <c r="N54" s="63"/>
      <c r="O54" s="63"/>
      <c r="P54" s="63"/>
      <c r="Q54" s="141"/>
      <c r="R54" s="63"/>
      <c r="S54" s="63"/>
      <c r="T54" s="63"/>
      <c r="U54" s="63"/>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c r="BB54" s="63"/>
      <c r="BC54" s="63"/>
      <c r="BD54" s="63"/>
      <c r="BE54" s="63"/>
      <c r="BF54" s="63"/>
      <c r="BG54" s="63"/>
      <c r="BH54" s="63"/>
      <c r="BI54" s="63"/>
      <c r="BJ54" s="63"/>
      <c r="BK54" s="63"/>
      <c r="BL54" s="63"/>
      <c r="BM54" s="63"/>
      <c r="BN54" s="63"/>
      <c r="BO54" s="63"/>
      <c r="BP54" s="63"/>
      <c r="BQ54" s="63"/>
      <c r="BR54" s="63"/>
      <c r="BS54" s="63"/>
      <c r="BT54" s="63"/>
      <c r="BU54" s="63"/>
      <c r="BV54" s="63"/>
      <c r="BW54" s="63"/>
      <c r="BX54" s="63"/>
      <c r="BY54" s="63"/>
      <c r="BZ54" s="63"/>
      <c r="CA54" s="63"/>
      <c r="CB54" s="63"/>
      <c r="CC54" s="63"/>
      <c r="CD54" s="63"/>
      <c r="CE54" s="63"/>
      <c r="CF54" s="63"/>
      <c r="CG54" s="63"/>
      <c r="CH54" s="63"/>
      <c r="CI54" s="63"/>
      <c r="CJ54" s="63"/>
      <c r="CK54" s="63"/>
      <c r="CL54" s="63"/>
      <c r="CM54" s="63"/>
      <c r="CN54" s="63"/>
      <c r="CO54" s="63"/>
      <c r="CP54" s="63"/>
      <c r="CQ54" s="63"/>
      <c r="CR54" s="63"/>
      <c r="CS54" s="63"/>
      <c r="CT54" s="63"/>
      <c r="CU54" s="63"/>
      <c r="CV54" s="63"/>
      <c r="CW54" s="63"/>
      <c r="CX54" s="63"/>
      <c r="CY54" s="63"/>
      <c r="CZ54" s="63"/>
      <c r="DA54" s="63"/>
      <c r="DB54" s="63"/>
      <c r="DC54" s="63"/>
      <c r="DD54" s="63"/>
      <c r="DE54" s="63"/>
      <c r="DF54" s="63"/>
      <c r="DG54" s="63"/>
      <c r="DH54" s="63"/>
      <c r="DI54" s="63"/>
      <c r="DJ54" s="63"/>
      <c r="DK54" s="63"/>
      <c r="DL54" s="63"/>
      <c r="DM54" s="63"/>
      <c r="DN54" s="63"/>
      <c r="DO54" s="63"/>
      <c r="DP54" s="63"/>
      <c r="DQ54" s="63"/>
      <c r="DR54" s="63"/>
      <c r="DS54" s="63"/>
      <c r="DT54" s="63"/>
      <c r="DU54" s="63"/>
      <c r="DV54" s="63"/>
      <c r="DW54" s="63"/>
      <c r="DX54" s="63"/>
      <c r="DY54" s="63"/>
      <c r="DZ54" s="63"/>
      <c r="EA54" s="63"/>
      <c r="EB54" s="63"/>
      <c r="EC54" s="63"/>
      <c r="ED54" s="63"/>
      <c r="EE54" s="63"/>
      <c r="EF54" s="63"/>
      <c r="EG54" s="63"/>
      <c r="EH54" s="63"/>
      <c r="EI54" s="63"/>
      <c r="EJ54" s="63"/>
      <c r="EK54" s="63"/>
      <c r="EL54" s="63"/>
      <c r="EM54" s="63"/>
      <c r="EN54" s="63"/>
      <c r="EO54" s="63"/>
      <c r="EP54" s="63"/>
      <c r="EQ54" s="63"/>
      <c r="ER54" s="63"/>
      <c r="ES54" s="63"/>
      <c r="ET54" s="63"/>
      <c r="EU54" s="63"/>
      <c r="EV54" s="63"/>
      <c r="EW54" s="63"/>
      <c r="EX54" s="63"/>
      <c r="EY54" s="63"/>
      <c r="EZ54" s="63"/>
      <c r="FA54" s="63"/>
      <c r="FB54" s="63"/>
      <c r="FC54" s="63"/>
      <c r="FD54" s="63"/>
      <c r="FE54" s="63"/>
      <c r="FF54" s="63"/>
      <c r="FG54" s="63"/>
      <c r="FH54" s="63"/>
      <c r="FI54" s="63"/>
      <c r="FJ54" s="63"/>
      <c r="FK54" s="63"/>
      <c r="FL54" s="63"/>
      <c r="FM54" s="63"/>
      <c r="FN54" s="63"/>
      <c r="FO54" s="63"/>
      <c r="FP54" s="63"/>
      <c r="FQ54" s="63"/>
      <c r="FR54" s="63"/>
      <c r="FS54" s="63"/>
      <c r="FT54" s="63"/>
      <c r="FU54" s="63"/>
      <c r="FV54" s="63"/>
      <c r="FW54" s="63"/>
      <c r="FX54" s="63"/>
      <c r="FY54" s="63"/>
      <c r="FZ54" s="63"/>
      <c r="GA54" s="63"/>
      <c r="GB54" s="63"/>
      <c r="GC54" s="63"/>
      <c r="GD54" s="63"/>
      <c r="GE54" s="63"/>
      <c r="GF54" s="63"/>
      <c r="GG54" s="63"/>
      <c r="GH54" s="63"/>
      <c r="GI54" s="63"/>
      <c r="GJ54" s="63"/>
      <c r="GK54" s="63"/>
      <c r="GL54" s="63"/>
      <c r="GM54" s="63"/>
      <c r="GN54" s="63"/>
      <c r="GO54" s="63"/>
      <c r="GP54" s="63"/>
      <c r="GQ54" s="63"/>
      <c r="GR54" s="63"/>
      <c r="GS54" s="63"/>
      <c r="GT54" s="63"/>
      <c r="GU54" s="63"/>
      <c r="GV54" s="63"/>
      <c r="GW54" s="63"/>
      <c r="GX54" s="63"/>
      <c r="GY54" s="63"/>
      <c r="GZ54" s="63"/>
      <c r="HA54" s="63"/>
      <c r="HB54" s="63"/>
      <c r="HC54" s="63"/>
      <c r="HD54" s="63"/>
      <c r="HE54" s="63"/>
      <c r="HF54" s="63"/>
      <c r="HG54" s="63"/>
      <c r="HH54" s="63"/>
      <c r="HI54" s="63"/>
      <c r="HJ54" s="63"/>
      <c r="HK54" s="63"/>
      <c r="HL54" s="63"/>
      <c r="HM54" s="63"/>
      <c r="HN54" s="63"/>
      <c r="HO54" s="63"/>
      <c r="HP54" s="63"/>
      <c r="HQ54" s="63"/>
      <c r="HR54" s="63"/>
      <c r="HS54" s="63"/>
      <c r="HT54" s="63"/>
      <c r="HU54" s="63"/>
      <c r="HV54" s="63"/>
      <c r="HW54" s="63"/>
      <c r="HX54" s="63"/>
      <c r="HY54" s="63"/>
      <c r="HZ54" s="63"/>
      <c r="IA54" s="63"/>
      <c r="IB54" s="63"/>
      <c r="IC54" s="63"/>
      <c r="ID54" s="63"/>
      <c r="IE54" s="63"/>
      <c r="IF54" s="63"/>
      <c r="IG54" s="63"/>
      <c r="IH54" s="63"/>
    </row>
    <row r="55" spans="1:247" s="64" customFormat="1" outlineLevel="1">
      <c r="A55" s="51" t="s">
        <v>177</v>
      </c>
      <c r="B55" s="77" t="s">
        <v>159</v>
      </c>
      <c r="C55" s="52"/>
      <c r="D55" s="113"/>
      <c r="E55" s="56">
        <v>2</v>
      </c>
      <c r="F55" s="55">
        <f>16.4+3.4</f>
        <v>19.799999999999997</v>
      </c>
      <c r="G55" s="57"/>
      <c r="H55" s="93"/>
      <c r="I55" s="55">
        <f t="shared" ref="I55:I57" si="10">+PRODUCT(E55:H55)</f>
        <v>39.599999999999994</v>
      </c>
      <c r="J55" s="94"/>
      <c r="K55" s="63"/>
      <c r="L55" s="63"/>
      <c r="M55" s="63"/>
      <c r="N55" s="63"/>
      <c r="O55" s="63"/>
      <c r="P55" s="63"/>
      <c r="Q55" s="141"/>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c r="BB55" s="63"/>
      <c r="BC55" s="63"/>
      <c r="BD55" s="63"/>
      <c r="BE55" s="63"/>
      <c r="BF55" s="63"/>
      <c r="BG55" s="63"/>
      <c r="BH55" s="63"/>
      <c r="BI55" s="63"/>
      <c r="BJ55" s="63"/>
      <c r="BK55" s="63"/>
      <c r="BL55" s="63"/>
      <c r="BM55" s="63"/>
      <c r="BN55" s="63"/>
      <c r="BO55" s="63"/>
      <c r="BP55" s="63"/>
      <c r="BQ55" s="63"/>
      <c r="BR55" s="63"/>
      <c r="BS55" s="63"/>
      <c r="BT55" s="63"/>
      <c r="BU55" s="63"/>
      <c r="BV55" s="63"/>
      <c r="BW55" s="63"/>
      <c r="BX55" s="63"/>
      <c r="BY55" s="63"/>
      <c r="BZ55" s="63"/>
      <c r="CA55" s="63"/>
      <c r="CB55" s="63"/>
      <c r="CC55" s="63"/>
      <c r="CD55" s="63"/>
      <c r="CE55" s="63"/>
      <c r="CF55" s="63"/>
      <c r="CG55" s="63"/>
      <c r="CH55" s="63"/>
      <c r="CI55" s="63"/>
      <c r="CJ55" s="63"/>
      <c r="CK55" s="63"/>
      <c r="CL55" s="63"/>
      <c r="CM55" s="63"/>
      <c r="CN55" s="63"/>
      <c r="CO55" s="63"/>
      <c r="CP55" s="63"/>
      <c r="CQ55" s="63"/>
      <c r="CR55" s="63"/>
      <c r="CS55" s="63"/>
      <c r="CT55" s="63"/>
      <c r="CU55" s="63"/>
      <c r="CV55" s="63"/>
      <c r="CW55" s="63"/>
      <c r="CX55" s="63"/>
      <c r="CY55" s="63"/>
      <c r="CZ55" s="63"/>
      <c r="DA55" s="63"/>
      <c r="DB55" s="63"/>
      <c r="DC55" s="63"/>
      <c r="DD55" s="63"/>
      <c r="DE55" s="63"/>
      <c r="DF55" s="63"/>
      <c r="DG55" s="63"/>
      <c r="DH55" s="63"/>
      <c r="DI55" s="63"/>
      <c r="DJ55" s="63"/>
      <c r="DK55" s="63"/>
      <c r="DL55" s="63"/>
      <c r="DM55" s="63"/>
      <c r="DN55" s="63"/>
      <c r="DO55" s="63"/>
      <c r="DP55" s="63"/>
      <c r="DQ55" s="63"/>
      <c r="DR55" s="63"/>
      <c r="DS55" s="63"/>
      <c r="DT55" s="63"/>
      <c r="DU55" s="63"/>
      <c r="DV55" s="63"/>
      <c r="DW55" s="63"/>
      <c r="DX55" s="63"/>
      <c r="DY55" s="63"/>
      <c r="DZ55" s="63"/>
      <c r="EA55" s="63"/>
      <c r="EB55" s="63"/>
      <c r="EC55" s="63"/>
      <c r="ED55" s="63"/>
      <c r="EE55" s="63"/>
      <c r="EF55" s="63"/>
      <c r="EG55" s="63"/>
      <c r="EH55" s="63"/>
      <c r="EI55" s="63"/>
      <c r="EJ55" s="63"/>
      <c r="EK55" s="63"/>
      <c r="EL55" s="63"/>
      <c r="EM55" s="63"/>
      <c r="EN55" s="63"/>
      <c r="EO55" s="63"/>
      <c r="EP55" s="63"/>
      <c r="EQ55" s="63"/>
      <c r="ER55" s="63"/>
      <c r="ES55" s="63"/>
      <c r="ET55" s="63"/>
      <c r="EU55" s="63"/>
      <c r="EV55" s="63"/>
      <c r="EW55" s="63"/>
      <c r="EX55" s="63"/>
      <c r="EY55" s="63"/>
      <c r="EZ55" s="63"/>
      <c r="FA55" s="63"/>
      <c r="FB55" s="63"/>
      <c r="FC55" s="63"/>
      <c r="FD55" s="63"/>
      <c r="FE55" s="63"/>
      <c r="FF55" s="63"/>
      <c r="FG55" s="63"/>
      <c r="FH55" s="63"/>
      <c r="FI55" s="63"/>
      <c r="FJ55" s="63"/>
      <c r="FK55" s="63"/>
      <c r="FL55" s="63"/>
      <c r="FM55" s="63"/>
      <c r="FN55" s="63"/>
      <c r="FO55" s="63"/>
      <c r="FP55" s="63"/>
      <c r="FQ55" s="63"/>
      <c r="FR55" s="63"/>
      <c r="FS55" s="63"/>
      <c r="FT55" s="63"/>
      <c r="FU55" s="63"/>
      <c r="FV55" s="63"/>
      <c r="FW55" s="63"/>
      <c r="FX55" s="63"/>
      <c r="FY55" s="63"/>
      <c r="FZ55" s="63"/>
      <c r="GA55" s="63"/>
      <c r="GB55" s="63"/>
      <c r="GC55" s="63"/>
      <c r="GD55" s="63"/>
      <c r="GE55" s="63"/>
      <c r="GF55" s="63"/>
      <c r="GG55" s="63"/>
      <c r="GH55" s="63"/>
      <c r="GI55" s="63"/>
      <c r="GJ55" s="63"/>
      <c r="GK55" s="63"/>
      <c r="GL55" s="63"/>
      <c r="GM55" s="63"/>
      <c r="GN55" s="63"/>
      <c r="GO55" s="63"/>
      <c r="GP55" s="63"/>
      <c r="GQ55" s="63"/>
      <c r="GR55" s="63"/>
      <c r="GS55" s="63"/>
      <c r="GT55" s="63"/>
      <c r="GU55" s="63"/>
      <c r="GV55" s="63"/>
      <c r="GW55" s="63"/>
      <c r="GX55" s="63"/>
      <c r="GY55" s="63"/>
      <c r="GZ55" s="63"/>
      <c r="HA55" s="63"/>
      <c r="HB55" s="63"/>
      <c r="HC55" s="63"/>
      <c r="HD55" s="63"/>
      <c r="HE55" s="63"/>
      <c r="HF55" s="63"/>
      <c r="HG55" s="63"/>
      <c r="HH55" s="63"/>
      <c r="HI55" s="63"/>
      <c r="HJ55" s="63"/>
      <c r="HK55" s="63"/>
      <c r="HL55" s="63"/>
      <c r="HM55" s="63"/>
      <c r="HN55" s="63"/>
      <c r="HO55" s="63"/>
      <c r="HP55" s="63"/>
      <c r="HQ55" s="63"/>
      <c r="HR55" s="63"/>
      <c r="HS55" s="63"/>
      <c r="HT55" s="63"/>
      <c r="HU55" s="63"/>
      <c r="HV55" s="63"/>
      <c r="HW55" s="63"/>
      <c r="HX55" s="63"/>
      <c r="HY55" s="63"/>
      <c r="HZ55" s="63"/>
      <c r="IA55" s="63"/>
      <c r="IB55" s="63"/>
      <c r="IC55" s="63"/>
      <c r="ID55" s="63"/>
      <c r="IE55" s="63"/>
      <c r="IF55" s="63"/>
      <c r="IG55" s="63"/>
      <c r="IH55" s="63"/>
    </row>
    <row r="56" spans="1:247" s="71" customFormat="1" ht="23.25" customHeight="1">
      <c r="A56" s="65">
        <f>+A51+1</f>
        <v>16</v>
      </c>
      <c r="B56" s="88" t="s">
        <v>109</v>
      </c>
      <c r="C56" s="66" t="s">
        <v>111</v>
      </c>
      <c r="D56" s="114" t="s">
        <v>9</v>
      </c>
      <c r="E56" s="68"/>
      <c r="F56" s="68"/>
      <c r="G56" s="69"/>
      <c r="H56" s="98"/>
      <c r="I56" s="95">
        <f>+I21</f>
        <v>127.6512</v>
      </c>
      <c r="J56" s="99"/>
      <c r="K56" s="70"/>
      <c r="L56" s="70"/>
      <c r="M56" s="70"/>
      <c r="N56" s="70"/>
      <c r="O56" s="70"/>
      <c r="P56" s="70"/>
      <c r="Q56" s="143"/>
      <c r="R56" s="70"/>
      <c r="S56" s="70"/>
      <c r="T56" s="70"/>
      <c r="U56" s="70"/>
      <c r="V56" s="70"/>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row>
    <row r="57" spans="1:247" s="71" customFormat="1" ht="42.75" customHeight="1">
      <c r="A57" s="65">
        <f>+A56+1</f>
        <v>17</v>
      </c>
      <c r="B57" s="100" t="s">
        <v>178</v>
      </c>
      <c r="C57" s="66"/>
      <c r="D57" s="114" t="s">
        <v>9</v>
      </c>
      <c r="E57" s="68">
        <v>2</v>
      </c>
      <c r="F57" s="68">
        <v>2</v>
      </c>
      <c r="G57" s="69">
        <v>1.5</v>
      </c>
      <c r="H57" s="98"/>
      <c r="I57" s="110">
        <f t="shared" si="10"/>
        <v>6</v>
      </c>
      <c r="J57" s="99"/>
      <c r="K57" s="70"/>
      <c r="L57" s="70"/>
      <c r="M57" s="70"/>
      <c r="N57" s="70"/>
      <c r="O57" s="70"/>
      <c r="P57" s="70"/>
      <c r="Q57" s="143"/>
      <c r="R57" s="70"/>
      <c r="S57" s="70"/>
      <c r="T57" s="70"/>
      <c r="U57" s="70"/>
      <c r="V57" s="70"/>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row>
    <row r="58" spans="1:247" ht="47.25" customHeight="1">
      <c r="A58" s="58" t="s">
        <v>13</v>
      </c>
    </row>
    <row r="59" spans="1:247">
      <c r="B59" s="179" t="s">
        <v>14</v>
      </c>
      <c r="C59" s="179"/>
      <c r="D59" s="179"/>
      <c r="E59" s="179"/>
      <c r="F59" s="179"/>
      <c r="G59" s="179"/>
      <c r="H59" s="179"/>
      <c r="I59" s="179"/>
    </row>
    <row r="60" spans="1:247" s="60" customFormat="1" ht="60.75" customHeight="1">
      <c r="A60" s="23"/>
      <c r="B60" s="180" t="s">
        <v>15</v>
      </c>
      <c r="C60" s="180"/>
      <c r="D60" s="180"/>
      <c r="E60" s="180"/>
      <c r="F60" s="180"/>
      <c r="G60" s="180"/>
      <c r="H60" s="180"/>
      <c r="I60" s="180"/>
      <c r="Q60" s="145"/>
    </row>
    <row r="61" spans="1:247">
      <c r="B61" s="61" t="s">
        <v>60</v>
      </c>
      <c r="I61" s="62" t="s">
        <v>61</v>
      </c>
    </row>
  </sheetData>
  <mergeCells count="7">
    <mergeCell ref="B59:I59"/>
    <mergeCell ref="B60:I60"/>
    <mergeCell ref="D5:E5"/>
    <mergeCell ref="A9:F9"/>
    <mergeCell ref="A10:F10"/>
    <mergeCell ref="A11:F11"/>
    <mergeCell ref="A8:J8"/>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topLeftCell="A10" zoomScale="85" zoomScaleNormal="85" workbookViewId="0">
      <selection activeCell="J4" sqref="J4"/>
    </sheetView>
  </sheetViews>
  <sheetFormatPr defaultColWidth="9.140625" defaultRowHeight="16.5"/>
  <cols>
    <col min="1" max="1" width="9.140625" style="10"/>
    <col min="2" max="3" width="31.140625" style="1" customWidth="1"/>
    <col min="4" max="9" width="9.140625" style="1"/>
    <col min="10" max="10" width="13.140625" style="1" customWidth="1"/>
    <col min="11" max="11" width="17.7109375" style="1" customWidth="1"/>
    <col min="12" max="16384" width="9.140625" style="1"/>
  </cols>
  <sheetData>
    <row r="1" spans="1:11" s="2" customFormat="1" ht="36.75" customHeight="1">
      <c r="A1" s="186" t="s">
        <v>5</v>
      </c>
      <c r="B1" s="187"/>
      <c r="C1" s="187"/>
      <c r="D1" s="187"/>
      <c r="E1" s="187"/>
      <c r="F1" s="187"/>
      <c r="G1" s="187"/>
      <c r="H1" s="187"/>
      <c r="I1" s="187"/>
      <c r="J1" s="187"/>
      <c r="K1" s="188"/>
    </row>
    <row r="2" spans="1:11" ht="33">
      <c r="A2" s="6" t="s">
        <v>0</v>
      </c>
      <c r="B2" s="5" t="s">
        <v>1</v>
      </c>
      <c r="C2" s="5" t="s">
        <v>74</v>
      </c>
      <c r="D2" s="5" t="s">
        <v>79</v>
      </c>
      <c r="E2" s="5" t="s">
        <v>6</v>
      </c>
      <c r="F2" s="5" t="s">
        <v>2</v>
      </c>
      <c r="G2" s="3" t="s">
        <v>7</v>
      </c>
      <c r="H2" s="3" t="s">
        <v>3</v>
      </c>
      <c r="I2" s="3" t="s">
        <v>32</v>
      </c>
      <c r="J2" s="3" t="s">
        <v>4</v>
      </c>
      <c r="K2" s="3" t="s">
        <v>4</v>
      </c>
    </row>
    <row r="3" spans="1:11" s="19" customFormat="1">
      <c r="A3" s="22" t="s">
        <v>10</v>
      </c>
      <c r="B3" s="15" t="s">
        <v>162</v>
      </c>
      <c r="C3" s="15"/>
      <c r="D3" s="15"/>
      <c r="E3" s="15"/>
      <c r="F3" s="15"/>
      <c r="G3" s="18"/>
      <c r="H3" s="18"/>
      <c r="I3" s="18"/>
      <c r="J3" s="18">
        <f>+SUM(J4:J16)</f>
        <v>2219.6690000000003</v>
      </c>
      <c r="K3" s="18">
        <f>+SUM(K4:K23)</f>
        <v>0</v>
      </c>
    </row>
    <row r="4" spans="1:11" s="76" customFormat="1" ht="23.25" customHeight="1">
      <c r="A4" s="72">
        <v>1</v>
      </c>
      <c r="B4" s="73" t="s">
        <v>33</v>
      </c>
      <c r="C4" s="73" t="s">
        <v>75</v>
      </c>
      <c r="D4" s="73">
        <v>1</v>
      </c>
      <c r="E4" s="73">
        <f>6+13+5+7+9+3</f>
        <v>43</v>
      </c>
      <c r="F4" s="73">
        <v>3200</v>
      </c>
      <c r="G4" s="74"/>
      <c r="H4" s="74">
        <v>1.8</v>
      </c>
      <c r="I4" s="74">
        <v>4.1500000000000004</v>
      </c>
      <c r="J4" s="75">
        <f>+E4*F4*I4/1000</f>
        <v>571.04</v>
      </c>
      <c r="K4" s="75"/>
    </row>
    <row r="5" spans="1:11" s="76" customFormat="1" ht="23.25" customHeight="1">
      <c r="A5" s="72">
        <f t="shared" ref="A5:A32" si="0">+A4+1</f>
        <v>2</v>
      </c>
      <c r="B5" s="73" t="s">
        <v>34</v>
      </c>
      <c r="C5" s="73" t="s">
        <v>75</v>
      </c>
      <c r="D5" s="73">
        <v>1</v>
      </c>
      <c r="E5" s="73">
        <v>3</v>
      </c>
      <c r="F5" s="73">
        <f>1050+100</f>
        <v>1150</v>
      </c>
      <c r="G5" s="74"/>
      <c r="H5" s="74">
        <v>1.8</v>
      </c>
      <c r="I5" s="74">
        <v>4.1500000000000004</v>
      </c>
      <c r="J5" s="75">
        <f t="shared" ref="J5:J22" si="1">+E5*F5*I5/1000</f>
        <v>14.317500000000003</v>
      </c>
      <c r="K5" s="75"/>
    </row>
    <row r="6" spans="1:11" s="76" customFormat="1" ht="23.25" customHeight="1">
      <c r="A6" s="72">
        <f t="shared" si="0"/>
        <v>3</v>
      </c>
      <c r="B6" s="73" t="s">
        <v>35</v>
      </c>
      <c r="C6" s="73" t="s">
        <v>75</v>
      </c>
      <c r="D6" s="73">
        <v>1</v>
      </c>
      <c r="E6" s="73">
        <v>3</v>
      </c>
      <c r="F6" s="73">
        <f>18800+1200</f>
        <v>20000</v>
      </c>
      <c r="G6" s="74"/>
      <c r="H6" s="74">
        <v>1.8</v>
      </c>
      <c r="I6" s="74">
        <v>4.1500000000000004</v>
      </c>
      <c r="J6" s="75">
        <f t="shared" si="1"/>
        <v>249.00000000000003</v>
      </c>
      <c r="K6" s="75"/>
    </row>
    <row r="7" spans="1:11" s="76" customFormat="1" ht="23.25" customHeight="1">
      <c r="A7" s="72">
        <f t="shared" si="0"/>
        <v>4</v>
      </c>
      <c r="B7" s="73" t="s">
        <v>36</v>
      </c>
      <c r="C7" s="73" t="s">
        <v>75</v>
      </c>
      <c r="D7" s="73">
        <v>1</v>
      </c>
      <c r="E7" s="73">
        <v>3</v>
      </c>
      <c r="F7" s="73">
        <f>7650+1200</f>
        <v>8850</v>
      </c>
      <c r="G7" s="74"/>
      <c r="H7" s="74">
        <v>1.8</v>
      </c>
      <c r="I7" s="74">
        <v>4.1500000000000004</v>
      </c>
      <c r="J7" s="75">
        <f t="shared" si="1"/>
        <v>110.18250000000002</v>
      </c>
      <c r="K7" s="75"/>
    </row>
    <row r="8" spans="1:11" s="76" customFormat="1" ht="27" customHeight="1">
      <c r="A8" s="72">
        <f t="shared" si="0"/>
        <v>5</v>
      </c>
      <c r="B8" s="73" t="s">
        <v>37</v>
      </c>
      <c r="C8" s="73" t="s">
        <v>75</v>
      </c>
      <c r="D8" s="73">
        <v>1</v>
      </c>
      <c r="E8" s="73">
        <v>3</v>
      </c>
      <c r="F8" s="73">
        <v>8650</v>
      </c>
      <c r="G8" s="74"/>
      <c r="H8" s="74">
        <v>1.8</v>
      </c>
      <c r="I8" s="74">
        <v>4.1500000000000004</v>
      </c>
      <c r="J8" s="75">
        <f t="shared" si="1"/>
        <v>107.69250000000001</v>
      </c>
      <c r="K8" s="75"/>
    </row>
    <row r="9" spans="1:11" s="76" customFormat="1" ht="33" customHeight="1">
      <c r="A9" s="72">
        <f t="shared" si="0"/>
        <v>6</v>
      </c>
      <c r="B9" s="73" t="s">
        <v>38</v>
      </c>
      <c r="C9" s="73" t="s">
        <v>75</v>
      </c>
      <c r="D9" s="73">
        <v>1</v>
      </c>
      <c r="E9" s="73">
        <v>1</v>
      </c>
      <c r="F9" s="73">
        <v>3880</v>
      </c>
      <c r="G9" s="74"/>
      <c r="H9" s="74">
        <v>1.8</v>
      </c>
      <c r="I9" s="74">
        <v>4.1500000000000004</v>
      </c>
      <c r="J9" s="75">
        <f t="shared" ref="J9" si="2">+E9*F9*I9/1000</f>
        <v>16.102</v>
      </c>
      <c r="K9" s="75"/>
    </row>
    <row r="10" spans="1:11" ht="23.25" customHeight="1">
      <c r="A10" s="6">
        <f>+A9+1</f>
        <v>7</v>
      </c>
      <c r="B10" s="5" t="s">
        <v>33</v>
      </c>
      <c r="C10" s="73" t="s">
        <v>77</v>
      </c>
      <c r="D10" s="5">
        <v>1</v>
      </c>
      <c r="E10" s="5">
        <f>6+13+5+7+4</f>
        <v>35</v>
      </c>
      <c r="F10" s="5">
        <v>3200</v>
      </c>
      <c r="G10" s="3"/>
      <c r="H10" s="3">
        <v>1.8</v>
      </c>
      <c r="I10" s="3">
        <v>4.1500000000000004</v>
      </c>
      <c r="J10" s="4">
        <f>+E10*F10*I10/1000</f>
        <v>464.80000000000007</v>
      </c>
      <c r="K10" s="4"/>
    </row>
    <row r="11" spans="1:11" ht="23.25" customHeight="1">
      <c r="A11" s="6">
        <f t="shared" si="0"/>
        <v>8</v>
      </c>
      <c r="B11" s="5" t="s">
        <v>34</v>
      </c>
      <c r="C11" s="73" t="s">
        <v>77</v>
      </c>
      <c r="D11" s="5"/>
      <c r="E11" s="5">
        <v>3</v>
      </c>
      <c r="F11" s="5">
        <f>1050+100</f>
        <v>1150</v>
      </c>
      <c r="G11" s="3"/>
      <c r="H11" s="3">
        <v>1.8</v>
      </c>
      <c r="I11" s="3">
        <v>4.1500000000000004</v>
      </c>
      <c r="J11" s="4">
        <f t="shared" ref="J11:J19" si="3">+E11*F11*I11/1000</f>
        <v>14.317500000000003</v>
      </c>
      <c r="K11" s="4"/>
    </row>
    <row r="12" spans="1:11" ht="23.25" customHeight="1">
      <c r="A12" s="6">
        <f t="shared" si="0"/>
        <v>9</v>
      </c>
      <c r="B12" s="5" t="s">
        <v>35</v>
      </c>
      <c r="C12" s="73" t="s">
        <v>77</v>
      </c>
      <c r="D12" s="5">
        <v>1</v>
      </c>
      <c r="E12" s="5">
        <v>3</v>
      </c>
      <c r="F12" s="5">
        <v>16400</v>
      </c>
      <c r="G12" s="3"/>
      <c r="H12" s="3">
        <v>1.8</v>
      </c>
      <c r="I12" s="3">
        <v>4.1500000000000004</v>
      </c>
      <c r="J12" s="4">
        <f t="shared" si="3"/>
        <v>204.18000000000004</v>
      </c>
      <c r="K12" s="4"/>
    </row>
    <row r="13" spans="1:11" ht="23.25" customHeight="1">
      <c r="A13" s="6">
        <f t="shared" si="0"/>
        <v>10</v>
      </c>
      <c r="B13" s="5" t="s">
        <v>36</v>
      </c>
      <c r="C13" s="73" t="s">
        <v>77</v>
      </c>
      <c r="D13" s="5">
        <v>1</v>
      </c>
      <c r="E13" s="5">
        <v>3</v>
      </c>
      <c r="F13" s="5">
        <v>5250</v>
      </c>
      <c r="G13" s="3"/>
      <c r="H13" s="3">
        <v>1.8</v>
      </c>
      <c r="I13" s="3">
        <v>4.1500000000000004</v>
      </c>
      <c r="J13" s="4">
        <f t="shared" si="3"/>
        <v>65.362500000000011</v>
      </c>
      <c r="K13" s="4"/>
    </row>
    <row r="14" spans="1:11" ht="27" customHeight="1">
      <c r="A14" s="6">
        <f t="shared" si="0"/>
        <v>11</v>
      </c>
      <c r="B14" s="5" t="s">
        <v>37</v>
      </c>
      <c r="C14" s="73" t="s">
        <v>77</v>
      </c>
      <c r="D14" s="5">
        <v>1</v>
      </c>
      <c r="E14" s="5">
        <v>3</v>
      </c>
      <c r="F14" s="5">
        <v>8650</v>
      </c>
      <c r="G14" s="3"/>
      <c r="H14" s="3">
        <v>1.8</v>
      </c>
      <c r="I14" s="3">
        <v>4.1500000000000004</v>
      </c>
      <c r="J14" s="4">
        <f t="shared" si="3"/>
        <v>107.69250000000001</v>
      </c>
      <c r="K14" s="4"/>
    </row>
    <row r="15" spans="1:11" ht="33" customHeight="1">
      <c r="A15" s="6">
        <f t="shared" si="0"/>
        <v>12</v>
      </c>
      <c r="B15" s="5" t="s">
        <v>38</v>
      </c>
      <c r="C15" s="73" t="s">
        <v>77</v>
      </c>
      <c r="D15" s="5">
        <v>1</v>
      </c>
      <c r="E15" s="5">
        <v>1</v>
      </c>
      <c r="F15" s="5">
        <v>3880</v>
      </c>
      <c r="G15" s="3"/>
      <c r="H15" s="3">
        <v>1.8</v>
      </c>
      <c r="I15" s="3">
        <v>4.1500000000000004</v>
      </c>
      <c r="J15" s="4">
        <f t="shared" si="3"/>
        <v>16.102</v>
      </c>
      <c r="K15" s="4"/>
    </row>
    <row r="16" spans="1:11" ht="23.25" customHeight="1">
      <c r="A16" s="6">
        <f>+A15+1</f>
        <v>13</v>
      </c>
      <c r="B16" s="5" t="s">
        <v>33</v>
      </c>
      <c r="C16" s="73" t="s">
        <v>78</v>
      </c>
      <c r="D16" s="5">
        <v>1</v>
      </c>
      <c r="E16" s="5">
        <v>21</v>
      </c>
      <c r="F16" s="5">
        <v>3200</v>
      </c>
      <c r="G16" s="3"/>
      <c r="H16" s="3">
        <v>1.8</v>
      </c>
      <c r="I16" s="3">
        <v>4.1500000000000004</v>
      </c>
      <c r="J16" s="4">
        <f t="shared" si="3"/>
        <v>278.88</v>
      </c>
      <c r="K16" s="4"/>
    </row>
    <row r="17" spans="1:11" s="9" customFormat="1" ht="23.25" customHeight="1">
      <c r="A17" s="147" t="s">
        <v>12</v>
      </c>
      <c r="B17" s="8" t="s">
        <v>163</v>
      </c>
      <c r="C17" s="148"/>
      <c r="D17" s="8"/>
      <c r="E17" s="8"/>
      <c r="F17" s="8"/>
      <c r="G17" s="7"/>
      <c r="H17" s="7"/>
      <c r="I17" s="7"/>
      <c r="J17" s="149">
        <f>+SUM(J18:J19)</f>
        <v>914.33999999999992</v>
      </c>
      <c r="K17" s="149"/>
    </row>
    <row r="18" spans="1:11" s="76" customFormat="1" ht="23.25" customHeight="1">
      <c r="A18" s="72">
        <f>+A16+1</f>
        <v>14</v>
      </c>
      <c r="B18" s="73" t="s">
        <v>123</v>
      </c>
      <c r="C18" s="73" t="s">
        <v>124</v>
      </c>
      <c r="D18" s="73">
        <v>1</v>
      </c>
      <c r="E18" s="73">
        <v>4</v>
      </c>
      <c r="F18" s="73">
        <f>3500+2800*3+2500</f>
        <v>14400</v>
      </c>
      <c r="G18" s="74"/>
      <c r="H18" s="74">
        <v>3.5</v>
      </c>
      <c r="I18" s="74">
        <f>46.65/6</f>
        <v>7.7749999999999995</v>
      </c>
      <c r="J18" s="75">
        <f t="shared" si="3"/>
        <v>447.83999999999992</v>
      </c>
      <c r="K18" s="75"/>
    </row>
    <row r="19" spans="1:11" s="76" customFormat="1" ht="23.25" customHeight="1">
      <c r="A19" s="72">
        <f t="shared" si="0"/>
        <v>15</v>
      </c>
      <c r="B19" s="73" t="s">
        <v>125</v>
      </c>
      <c r="C19" s="73" t="s">
        <v>124</v>
      </c>
      <c r="D19" s="73">
        <v>1</v>
      </c>
      <c r="E19" s="73">
        <f>2*5</f>
        <v>10</v>
      </c>
      <c r="F19" s="73">
        <f>+(1800+1200)*2</f>
        <v>6000</v>
      </c>
      <c r="G19" s="74"/>
      <c r="H19" s="74">
        <v>3.5</v>
      </c>
      <c r="I19" s="74">
        <f>46.65/6</f>
        <v>7.7749999999999995</v>
      </c>
      <c r="J19" s="75">
        <f t="shared" si="3"/>
        <v>466.49999999999994</v>
      </c>
      <c r="K19" s="75"/>
    </row>
    <row r="20" spans="1:11" s="121" customFormat="1" ht="33" customHeight="1">
      <c r="A20" s="119" t="s">
        <v>164</v>
      </c>
      <c r="B20" s="118" t="s">
        <v>81</v>
      </c>
      <c r="C20" s="118"/>
      <c r="D20" s="118"/>
      <c r="E20" s="118"/>
      <c r="F20" s="118"/>
      <c r="G20" s="120"/>
      <c r="H20" s="120"/>
      <c r="I20" s="120"/>
      <c r="J20" s="115">
        <f>+SUM(J21:J31)</f>
        <v>3087.7323999999999</v>
      </c>
      <c r="K20" s="115"/>
    </row>
    <row r="21" spans="1:11" s="134" customFormat="1" ht="27" customHeight="1">
      <c r="A21" s="131">
        <f>+A9+1</f>
        <v>7</v>
      </c>
      <c r="B21" s="130" t="s">
        <v>151</v>
      </c>
      <c r="C21" s="130" t="s">
        <v>76</v>
      </c>
      <c r="D21" s="130"/>
      <c r="E21" s="130">
        <v>10</v>
      </c>
      <c r="F21" s="130">
        <v>2550</v>
      </c>
      <c r="G21" s="132"/>
      <c r="H21" s="132"/>
      <c r="I21" s="132">
        <v>21.6</v>
      </c>
      <c r="J21" s="133">
        <f t="shared" si="1"/>
        <v>550.79999999999995</v>
      </c>
      <c r="K21" s="133"/>
    </row>
    <row r="22" spans="1:11" s="134" customFormat="1" ht="23.25" customHeight="1">
      <c r="A22" s="131">
        <f t="shared" si="0"/>
        <v>8</v>
      </c>
      <c r="B22" s="130" t="s">
        <v>152</v>
      </c>
      <c r="C22" s="130" t="s">
        <v>75</v>
      </c>
      <c r="D22" s="130"/>
      <c r="E22" s="130">
        <v>2</v>
      </c>
      <c r="F22" s="130">
        <f>18800+1200</f>
        <v>20000</v>
      </c>
      <c r="G22" s="132"/>
      <c r="H22" s="132"/>
      <c r="I22" s="132">
        <v>21.6</v>
      </c>
      <c r="J22" s="133">
        <f t="shared" si="1"/>
        <v>864</v>
      </c>
      <c r="K22" s="133"/>
    </row>
    <row r="23" spans="1:11" s="134" customFormat="1" ht="23.25" customHeight="1">
      <c r="A23" s="131">
        <f t="shared" si="0"/>
        <v>9</v>
      </c>
      <c r="B23" s="130" t="s">
        <v>39</v>
      </c>
      <c r="C23" s="130" t="s">
        <v>76</v>
      </c>
      <c r="D23" s="130"/>
      <c r="E23" s="130">
        <v>20</v>
      </c>
      <c r="F23" s="130">
        <v>200</v>
      </c>
      <c r="G23" s="132">
        <v>100</v>
      </c>
      <c r="H23" s="132">
        <v>20</v>
      </c>
      <c r="I23" s="132">
        <v>7850</v>
      </c>
      <c r="J23" s="133">
        <f>+E23*F23*G23*H23/(10^9)*I23</f>
        <v>62.800000000000004</v>
      </c>
      <c r="K23" s="133"/>
    </row>
    <row r="24" spans="1:11" s="134" customFormat="1" ht="23.25" customHeight="1">
      <c r="A24" s="131">
        <f t="shared" si="0"/>
        <v>10</v>
      </c>
      <c r="B24" s="130" t="s">
        <v>40</v>
      </c>
      <c r="C24" s="130" t="s">
        <v>75</v>
      </c>
      <c r="D24" s="130"/>
      <c r="E24" s="130">
        <f>+E23*4</f>
        <v>80</v>
      </c>
      <c r="F24" s="130">
        <v>100</v>
      </c>
      <c r="G24" s="132">
        <v>150</v>
      </c>
      <c r="H24" s="132">
        <v>10</v>
      </c>
      <c r="I24" s="132">
        <v>7851</v>
      </c>
      <c r="J24" s="133">
        <f>+E24*F24*G24*H24/(10^9)*I24</f>
        <v>94.212000000000003</v>
      </c>
      <c r="K24" s="133"/>
    </row>
    <row r="25" spans="1:11" s="134" customFormat="1" ht="44.25" customHeight="1">
      <c r="A25" s="131">
        <f t="shared" si="0"/>
        <v>11</v>
      </c>
      <c r="B25" s="130" t="s">
        <v>41</v>
      </c>
      <c r="C25" s="130" t="s">
        <v>75</v>
      </c>
      <c r="D25" s="130"/>
      <c r="E25" s="130">
        <f>+E21*2</f>
        <v>20</v>
      </c>
      <c r="F25" s="130">
        <v>200</v>
      </c>
      <c r="G25" s="132">
        <v>150</v>
      </c>
      <c r="H25" s="132">
        <v>10</v>
      </c>
      <c r="I25" s="132">
        <v>7851</v>
      </c>
      <c r="J25" s="133">
        <f>+E25*F25*G25*H25/(10^9)*I25</f>
        <v>47.106000000000002</v>
      </c>
      <c r="K25" s="133"/>
    </row>
    <row r="26" spans="1:11" s="134" customFormat="1" ht="27" customHeight="1">
      <c r="A26" s="131">
        <f t="shared" si="0"/>
        <v>12</v>
      </c>
      <c r="B26" s="130" t="s">
        <v>113</v>
      </c>
      <c r="C26" s="130" t="s">
        <v>80</v>
      </c>
      <c r="D26" s="130"/>
      <c r="E26" s="130">
        <v>8</v>
      </c>
      <c r="F26" s="130">
        <v>2550</v>
      </c>
      <c r="G26" s="132"/>
      <c r="H26" s="132"/>
      <c r="I26" s="132">
        <v>21.6</v>
      </c>
      <c r="J26" s="133">
        <f t="shared" ref="J26:J27" si="4">+E26*F26*I26/1000</f>
        <v>440.64</v>
      </c>
      <c r="K26" s="133"/>
    </row>
    <row r="27" spans="1:11" s="134" customFormat="1" ht="23.25" customHeight="1">
      <c r="A27" s="131">
        <f t="shared" si="0"/>
        <v>13</v>
      </c>
      <c r="B27" s="130" t="s">
        <v>114</v>
      </c>
      <c r="C27" s="130" t="s">
        <v>77</v>
      </c>
      <c r="D27" s="130"/>
      <c r="E27" s="130">
        <v>2</v>
      </c>
      <c r="F27" s="130">
        <f>16400</f>
        <v>16400</v>
      </c>
      <c r="G27" s="132"/>
      <c r="H27" s="132"/>
      <c r="I27" s="132">
        <v>21.6</v>
      </c>
      <c r="J27" s="133">
        <f t="shared" si="4"/>
        <v>708.48</v>
      </c>
      <c r="K27" s="133"/>
    </row>
    <row r="28" spans="1:11" s="129" customFormat="1" ht="23.25" customHeight="1">
      <c r="A28" s="125">
        <f t="shared" si="0"/>
        <v>14</v>
      </c>
      <c r="B28" s="126" t="s">
        <v>39</v>
      </c>
      <c r="C28" s="126" t="s">
        <v>80</v>
      </c>
      <c r="D28" s="126"/>
      <c r="E28" s="126">
        <f>+E26*2</f>
        <v>16</v>
      </c>
      <c r="F28" s="126">
        <v>200</v>
      </c>
      <c r="G28" s="132">
        <v>100</v>
      </c>
      <c r="H28" s="127">
        <v>20</v>
      </c>
      <c r="I28" s="127">
        <v>7850</v>
      </c>
      <c r="J28" s="128">
        <f>+E28*F28*G28*H28/(10^9)*I28</f>
        <v>50.24</v>
      </c>
      <c r="K28" s="128"/>
    </row>
    <row r="29" spans="1:11" s="129" customFormat="1" ht="23.25" customHeight="1">
      <c r="A29" s="125">
        <f t="shared" si="0"/>
        <v>15</v>
      </c>
      <c r="B29" s="126" t="s">
        <v>40</v>
      </c>
      <c r="C29" s="126" t="s">
        <v>77</v>
      </c>
      <c r="D29" s="126"/>
      <c r="E29" s="126">
        <f>+E28*4</f>
        <v>64</v>
      </c>
      <c r="F29" s="126">
        <v>100</v>
      </c>
      <c r="G29" s="127">
        <v>150</v>
      </c>
      <c r="H29" s="127">
        <v>10</v>
      </c>
      <c r="I29" s="127">
        <v>7851</v>
      </c>
      <c r="J29" s="128">
        <f>+E29*F29*G29*H29/(10^9)*I29</f>
        <v>75.369599999999991</v>
      </c>
      <c r="K29" s="128"/>
    </row>
    <row r="30" spans="1:11" s="129" customFormat="1" ht="39.75" customHeight="1">
      <c r="A30" s="125">
        <f t="shared" si="0"/>
        <v>16</v>
      </c>
      <c r="B30" s="126" t="s">
        <v>41</v>
      </c>
      <c r="C30" s="126" t="s">
        <v>77</v>
      </c>
      <c r="D30" s="126"/>
      <c r="E30" s="126">
        <f>+E26*2</f>
        <v>16</v>
      </c>
      <c r="F30" s="126">
        <v>200</v>
      </c>
      <c r="G30" s="127">
        <v>150</v>
      </c>
      <c r="H30" s="127">
        <v>10</v>
      </c>
      <c r="I30" s="127">
        <v>7851</v>
      </c>
      <c r="J30" s="128">
        <f>+E30*F30*G30*H30/(10^9)*I30</f>
        <v>37.684799999999996</v>
      </c>
      <c r="K30" s="128"/>
    </row>
    <row r="31" spans="1:11" s="129" customFormat="1" ht="23.25" customHeight="1">
      <c r="A31" s="125">
        <f t="shared" si="0"/>
        <v>17</v>
      </c>
      <c r="B31" s="126" t="s">
        <v>152</v>
      </c>
      <c r="C31" s="126" t="s">
        <v>122</v>
      </c>
      <c r="D31" s="126"/>
      <c r="E31" s="126">
        <v>2</v>
      </c>
      <c r="F31" s="130">
        <v>3400</v>
      </c>
      <c r="G31" s="127"/>
      <c r="H31" s="127"/>
      <c r="I31" s="127">
        <v>23</v>
      </c>
      <c r="J31" s="128">
        <f t="shared" ref="J31" si="5">+E31*F31*I31/1000</f>
        <v>156.4</v>
      </c>
      <c r="K31" s="128"/>
    </row>
    <row r="32" spans="1:11" s="129" customFormat="1" ht="35.25" customHeight="1">
      <c r="A32" s="125">
        <f t="shared" si="0"/>
        <v>18</v>
      </c>
      <c r="B32" s="126" t="s">
        <v>70</v>
      </c>
      <c r="C32" s="126"/>
      <c r="D32" s="126"/>
      <c r="E32" s="126"/>
      <c r="F32" s="126"/>
      <c r="G32" s="127"/>
      <c r="H32" s="127"/>
      <c r="I32" s="127"/>
      <c r="J32" s="128">
        <f>+SUM(J33:J34)</f>
        <v>216</v>
      </c>
      <c r="K32" s="128"/>
    </row>
    <row r="33" spans="1:11" s="129" customFormat="1" ht="35.25" customHeight="1">
      <c r="A33" s="135" t="s">
        <v>148</v>
      </c>
      <c r="B33" s="126"/>
      <c r="C33" s="126" t="s">
        <v>75</v>
      </c>
      <c r="D33" s="126"/>
      <c r="E33" s="126">
        <f>12*E21</f>
        <v>120</v>
      </c>
      <c r="F33" s="126"/>
      <c r="G33" s="127"/>
      <c r="H33" s="127"/>
      <c r="I33" s="127"/>
      <c r="J33" s="128">
        <f>+E33</f>
        <v>120</v>
      </c>
      <c r="K33" s="128"/>
    </row>
    <row r="34" spans="1:11" s="129" customFormat="1" ht="35.25" customHeight="1">
      <c r="A34" s="135" t="s">
        <v>149</v>
      </c>
      <c r="B34" s="126"/>
      <c r="C34" s="126" t="s">
        <v>77</v>
      </c>
      <c r="D34" s="126"/>
      <c r="E34" s="126">
        <f>12*E26</f>
        <v>96</v>
      </c>
      <c r="F34" s="126"/>
      <c r="G34" s="127"/>
      <c r="H34" s="127"/>
      <c r="I34" s="127"/>
      <c r="J34" s="128">
        <f t="shared" ref="J34:J35" si="6">+E34</f>
        <v>96</v>
      </c>
      <c r="K34" s="128"/>
    </row>
    <row r="35" spans="1:11" ht="35.25" customHeight="1">
      <c r="A35" s="135" t="s">
        <v>150</v>
      </c>
      <c r="B35" s="5"/>
      <c r="C35" s="5" t="s">
        <v>77</v>
      </c>
      <c r="D35" s="5"/>
      <c r="E35" s="5"/>
      <c r="F35" s="5"/>
      <c r="G35" s="3"/>
      <c r="H35" s="3"/>
      <c r="I35" s="3"/>
      <c r="J35" s="4">
        <f t="shared" si="6"/>
        <v>0</v>
      </c>
      <c r="K35" s="4"/>
    </row>
  </sheetData>
  <mergeCells count="1">
    <mergeCell ref="A1:K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topLeftCell="A7" workbookViewId="0">
      <selection activeCell="H22" sqref="G22:H23"/>
    </sheetView>
  </sheetViews>
  <sheetFormatPr defaultColWidth="9.140625" defaultRowHeight="16.5"/>
  <cols>
    <col min="1" max="1" width="9.140625" style="1"/>
    <col min="2" max="2" width="15.85546875" style="1" customWidth="1"/>
    <col min="3" max="3" width="7.42578125" style="10" customWidth="1"/>
    <col min="4" max="4" width="8.85546875" style="10" customWidth="1"/>
    <col min="5" max="5" width="7.42578125" style="10" customWidth="1"/>
    <col min="6" max="7" width="9.140625" style="1"/>
    <col min="8" max="11" width="7" style="1" customWidth="1"/>
    <col min="12" max="12" width="9.140625" style="1"/>
    <col min="13" max="13" width="6.42578125" style="1" customWidth="1"/>
    <col min="14" max="14" width="13" style="12" customWidth="1"/>
    <col min="15" max="15" width="8" style="14" customWidth="1"/>
    <col min="16" max="16" width="14.28515625" style="12" customWidth="1"/>
    <col min="17" max="16384" width="9.140625" style="1"/>
  </cols>
  <sheetData>
    <row r="1" spans="1:16" s="2" customFormat="1" ht="36.75" customHeight="1">
      <c r="A1" s="186" t="s">
        <v>29</v>
      </c>
      <c r="B1" s="187"/>
      <c r="C1" s="187"/>
      <c r="D1" s="187"/>
      <c r="E1" s="187"/>
      <c r="F1" s="187"/>
      <c r="G1" s="187"/>
      <c r="H1" s="187"/>
      <c r="I1" s="187"/>
      <c r="J1" s="187"/>
      <c r="K1" s="187"/>
      <c r="L1" s="187"/>
      <c r="M1" s="187"/>
      <c r="N1" s="187"/>
      <c r="O1" s="187"/>
      <c r="P1" s="187"/>
    </row>
    <row r="2" spans="1:16" s="14" customFormat="1" ht="37.5" customHeight="1">
      <c r="A2" s="189" t="s">
        <v>0</v>
      </c>
      <c r="B2" s="189" t="s">
        <v>1</v>
      </c>
      <c r="C2" s="189" t="s">
        <v>25</v>
      </c>
      <c r="D2" s="189" t="s">
        <v>17</v>
      </c>
      <c r="E2" s="189" t="s">
        <v>6</v>
      </c>
      <c r="F2" s="191" t="s">
        <v>2</v>
      </c>
      <c r="G2" s="191"/>
      <c r="H2" s="191"/>
      <c r="I2" s="191"/>
      <c r="J2" s="191"/>
      <c r="K2" s="191"/>
      <c r="L2" s="189" t="s">
        <v>24</v>
      </c>
      <c r="M2" s="189" t="s">
        <v>27</v>
      </c>
      <c r="N2" s="189" t="s">
        <v>31</v>
      </c>
      <c r="O2" s="189" t="s">
        <v>26</v>
      </c>
      <c r="P2" s="189" t="s">
        <v>30</v>
      </c>
    </row>
    <row r="3" spans="1:16">
      <c r="A3" s="190"/>
      <c r="B3" s="190"/>
      <c r="C3" s="190"/>
      <c r="D3" s="190"/>
      <c r="E3" s="190"/>
      <c r="F3" s="5" t="s">
        <v>18</v>
      </c>
      <c r="G3" s="5" t="s">
        <v>19</v>
      </c>
      <c r="H3" s="5" t="s">
        <v>20</v>
      </c>
      <c r="I3" s="5" t="s">
        <v>21</v>
      </c>
      <c r="J3" s="5" t="s">
        <v>22</v>
      </c>
      <c r="K3" s="5" t="s">
        <v>23</v>
      </c>
      <c r="L3" s="190"/>
      <c r="M3" s="190"/>
      <c r="N3" s="190"/>
      <c r="O3" s="190"/>
      <c r="P3" s="190"/>
    </row>
    <row r="4" spans="1:16" s="9" customFormat="1">
      <c r="A4" s="7"/>
      <c r="B4" s="8" t="s">
        <v>100</v>
      </c>
      <c r="C4" s="21"/>
      <c r="D4" s="21"/>
      <c r="E4" s="21"/>
      <c r="F4" s="8"/>
      <c r="G4" s="8"/>
      <c r="H4" s="8"/>
      <c r="I4" s="8"/>
      <c r="J4" s="8"/>
      <c r="K4" s="8"/>
      <c r="L4" s="8"/>
      <c r="M4" s="8"/>
      <c r="N4" s="17"/>
      <c r="O4" s="8"/>
      <c r="P4" s="16">
        <f>+SUM(P6:P19)</f>
        <v>3948.9970452071075</v>
      </c>
    </row>
    <row r="5" spans="1:16" s="9" customFormat="1">
      <c r="A5" s="7"/>
      <c r="B5" s="8" t="s">
        <v>92</v>
      </c>
      <c r="C5" s="21"/>
      <c r="D5" s="21"/>
      <c r="E5" s="21"/>
      <c r="F5" s="8"/>
      <c r="G5" s="8"/>
      <c r="H5" s="8"/>
      <c r="I5" s="8"/>
      <c r="J5" s="8"/>
      <c r="K5" s="8"/>
      <c r="L5" s="8"/>
      <c r="M5" s="8"/>
      <c r="N5" s="17"/>
      <c r="O5" s="8"/>
      <c r="P5" s="16"/>
    </row>
    <row r="6" spans="1:16" ht="23.25" customHeight="1">
      <c r="A6" s="6">
        <v>1</v>
      </c>
      <c r="B6" s="5" t="s">
        <v>101</v>
      </c>
      <c r="C6" s="20">
        <v>1</v>
      </c>
      <c r="D6" s="20">
        <v>16</v>
      </c>
      <c r="E6" s="20">
        <v>4</v>
      </c>
      <c r="F6" s="5">
        <v>20000</v>
      </c>
      <c r="G6" s="5">
        <v>100</v>
      </c>
      <c r="H6" s="5">
        <v>100</v>
      </c>
      <c r="I6" s="5"/>
      <c r="J6" s="5"/>
      <c r="K6" s="5"/>
      <c r="L6" s="5">
        <f>SUM(F6:K6)/1000</f>
        <v>20.2</v>
      </c>
      <c r="M6" s="5">
        <f>+IF(L6&lt;11.7,0,ROUND(L6/11.7,0)*40*D6)</f>
        <v>1280</v>
      </c>
      <c r="N6" s="13">
        <f>+PI()*D6^2*7850*L6/10^6*E6</f>
        <v>510.11824340964705</v>
      </c>
      <c r="O6" s="5">
        <v>2</v>
      </c>
      <c r="P6" s="11">
        <f>+N6*O6</f>
        <v>1020.2364868192941</v>
      </c>
    </row>
    <row r="7" spans="1:16" ht="23.25" customHeight="1">
      <c r="A7" s="6">
        <f>+A6+1</f>
        <v>2</v>
      </c>
      <c r="B7" s="5" t="s">
        <v>28</v>
      </c>
      <c r="C7" s="20">
        <v>2</v>
      </c>
      <c r="D7" s="92">
        <v>8</v>
      </c>
      <c r="E7" s="92">
        <f>+ROUND(F6/150+1,0)</f>
        <v>134</v>
      </c>
      <c r="F7" s="5">
        <v>200</v>
      </c>
      <c r="G7" s="5">
        <v>500</v>
      </c>
      <c r="H7" s="5"/>
      <c r="I7" s="5"/>
      <c r="J7" s="5"/>
      <c r="K7" s="5">
        <f>+J7</f>
        <v>0</v>
      </c>
      <c r="L7" s="5">
        <f>SUM(F7:K7)/1000</f>
        <v>0.7</v>
      </c>
      <c r="M7" s="5">
        <f t="shared" ref="M7:M9" si="0">+IF(L7&lt;11.7,0,ROUND(L7/11.7,0)*40*D7)</f>
        <v>0</v>
      </c>
      <c r="N7" s="13">
        <f>+PI()*D7^2*7850*L7/10^6*E7</f>
        <v>148.04793079153742</v>
      </c>
      <c r="O7" s="5">
        <v>2</v>
      </c>
      <c r="P7" s="11">
        <f>+N7*O7</f>
        <v>296.09586158307485</v>
      </c>
    </row>
    <row r="8" spans="1:16" ht="23.25" customHeight="1">
      <c r="A8" s="6">
        <f t="shared" ref="A8:A19" si="1">+A7+1</f>
        <v>3</v>
      </c>
      <c r="B8" s="5" t="s">
        <v>101</v>
      </c>
      <c r="C8" s="92">
        <v>1</v>
      </c>
      <c r="D8" s="92">
        <v>16</v>
      </c>
      <c r="E8" s="92">
        <v>4</v>
      </c>
      <c r="F8" s="5">
        <v>3400</v>
      </c>
      <c r="G8" s="5">
        <v>100</v>
      </c>
      <c r="H8" s="5">
        <v>100</v>
      </c>
      <c r="I8" s="5"/>
      <c r="J8" s="5"/>
      <c r="K8" s="5"/>
      <c r="L8" s="5">
        <f t="shared" ref="L8:L9" si="2">SUM(F8:K8)/1000</f>
        <v>3.6</v>
      </c>
      <c r="M8" s="5">
        <f t="shared" si="0"/>
        <v>0</v>
      </c>
      <c r="N8" s="13">
        <f t="shared" ref="N8:N9" si="3">+PI()*D8^2*7850*L8/10^6*E8</f>
        <v>90.912162191818297</v>
      </c>
      <c r="O8" s="5">
        <v>2</v>
      </c>
      <c r="P8" s="11">
        <f t="shared" ref="P8:P9" si="4">+N8*O8</f>
        <v>181.82432438363659</v>
      </c>
    </row>
    <row r="9" spans="1:16" ht="23.25" customHeight="1">
      <c r="A9" s="6">
        <f t="shared" si="1"/>
        <v>4</v>
      </c>
      <c r="B9" s="5" t="s">
        <v>28</v>
      </c>
      <c r="C9" s="92">
        <v>2</v>
      </c>
      <c r="D9" s="92">
        <v>8</v>
      </c>
      <c r="E9" s="92">
        <f>+ROUND(3400/150+1,0)</f>
        <v>24</v>
      </c>
      <c r="F9" s="5">
        <v>200</v>
      </c>
      <c r="G9" s="5">
        <v>500</v>
      </c>
      <c r="H9" s="5"/>
      <c r="I9" s="5"/>
      <c r="J9" s="5"/>
      <c r="K9" s="5">
        <f>+J9</f>
        <v>0</v>
      </c>
      <c r="L9" s="5">
        <f t="shared" si="2"/>
        <v>0.7</v>
      </c>
      <c r="M9" s="5">
        <f t="shared" si="0"/>
        <v>0</v>
      </c>
      <c r="N9" s="13">
        <f t="shared" si="3"/>
        <v>26.516047305946998</v>
      </c>
      <c r="O9" s="5">
        <v>2</v>
      </c>
      <c r="P9" s="11">
        <f t="shared" si="4"/>
        <v>53.032094611893996</v>
      </c>
    </row>
    <row r="10" spans="1:16" s="9" customFormat="1">
      <c r="A10" s="7"/>
      <c r="B10" s="8" t="s">
        <v>93</v>
      </c>
      <c r="C10" s="21"/>
      <c r="D10" s="21"/>
      <c r="E10" s="21"/>
      <c r="F10" s="8"/>
      <c r="G10" s="8"/>
      <c r="H10" s="8"/>
      <c r="I10" s="8"/>
      <c r="J10" s="8"/>
      <c r="K10" s="8"/>
      <c r="L10" s="8"/>
      <c r="M10" s="8"/>
      <c r="N10" s="17"/>
      <c r="O10" s="8"/>
      <c r="P10" s="16"/>
    </row>
    <row r="11" spans="1:16" ht="23.25" customHeight="1">
      <c r="A11" s="6">
        <v>1</v>
      </c>
      <c r="B11" s="5" t="s">
        <v>101</v>
      </c>
      <c r="C11" s="92">
        <v>1</v>
      </c>
      <c r="D11" s="92">
        <v>16</v>
      </c>
      <c r="E11" s="92">
        <v>4</v>
      </c>
      <c r="F11" s="5">
        <v>16400</v>
      </c>
      <c r="G11" s="5">
        <v>100</v>
      </c>
      <c r="H11" s="5">
        <v>100</v>
      </c>
      <c r="I11" s="5"/>
      <c r="J11" s="5"/>
      <c r="K11" s="5"/>
      <c r="L11" s="5">
        <f>SUM(F11:K11)/1000</f>
        <v>16.600000000000001</v>
      </c>
      <c r="M11" s="5">
        <f>+IF(L11&lt;11.7,0,ROUND(L11/11.7,0)*40*D11)</f>
        <v>640</v>
      </c>
      <c r="N11" s="13">
        <f>+PI()*D11^2*7850*L11/10^6*E11</f>
        <v>419.2060812178288</v>
      </c>
      <c r="O11" s="5">
        <v>2</v>
      </c>
      <c r="P11" s="11">
        <f>+N11*O11</f>
        <v>838.41216243565759</v>
      </c>
    </row>
    <row r="12" spans="1:16" ht="23.25" customHeight="1">
      <c r="A12" s="6">
        <f>+A11+1</f>
        <v>2</v>
      </c>
      <c r="B12" s="5" t="s">
        <v>28</v>
      </c>
      <c r="C12" s="92">
        <v>2</v>
      </c>
      <c r="D12" s="92">
        <v>8</v>
      </c>
      <c r="E12" s="92">
        <f>+ROUND(F11/150+1,0)</f>
        <v>110</v>
      </c>
      <c r="F12" s="5">
        <v>200</v>
      </c>
      <c r="G12" s="5">
        <v>500</v>
      </c>
      <c r="H12" s="5"/>
      <c r="I12" s="5"/>
      <c r="J12" s="5"/>
      <c r="K12" s="5">
        <f>+J12</f>
        <v>0</v>
      </c>
      <c r="L12" s="5">
        <f>SUM(F12:K12)/1000</f>
        <v>0.7</v>
      </c>
      <c r="M12" s="5">
        <f t="shared" ref="M12:M14" si="5">+IF(L12&lt;11.7,0,ROUND(L12/11.7,0)*40*D12)</f>
        <v>0</v>
      </c>
      <c r="N12" s="13">
        <f>+PI()*D12^2*7850*L12/10^6*E12</f>
        <v>121.53188348559041</v>
      </c>
      <c r="O12" s="5">
        <v>2</v>
      </c>
      <c r="P12" s="11">
        <f>+N12*O12</f>
        <v>243.06376697118083</v>
      </c>
    </row>
    <row r="13" spans="1:16" ht="23.25" customHeight="1">
      <c r="A13" s="6">
        <f t="shared" si="1"/>
        <v>3</v>
      </c>
      <c r="B13" s="5" t="s">
        <v>101</v>
      </c>
      <c r="C13" s="92">
        <v>1</v>
      </c>
      <c r="D13" s="92">
        <v>16</v>
      </c>
      <c r="E13" s="92">
        <v>4</v>
      </c>
      <c r="F13" s="5">
        <v>3400</v>
      </c>
      <c r="G13" s="5">
        <v>100</v>
      </c>
      <c r="H13" s="5">
        <v>100</v>
      </c>
      <c r="I13" s="5"/>
      <c r="J13" s="5"/>
      <c r="K13" s="5"/>
      <c r="L13" s="5">
        <f t="shared" ref="L13:L14" si="6">SUM(F13:K13)/1000</f>
        <v>3.6</v>
      </c>
      <c r="M13" s="5">
        <f t="shared" si="5"/>
        <v>0</v>
      </c>
      <c r="N13" s="13">
        <f t="shared" ref="N13:N14" si="7">+PI()*D13^2*7850*L13/10^6*E13</f>
        <v>90.912162191818297</v>
      </c>
      <c r="O13" s="5">
        <v>2</v>
      </c>
      <c r="P13" s="11">
        <f t="shared" ref="P13:P14" si="8">+N13*O13</f>
        <v>181.82432438363659</v>
      </c>
    </row>
    <row r="14" spans="1:16" ht="23.25" customHeight="1">
      <c r="A14" s="6">
        <f t="shared" si="1"/>
        <v>4</v>
      </c>
      <c r="B14" s="5" t="s">
        <v>28</v>
      </c>
      <c r="C14" s="92">
        <v>2</v>
      </c>
      <c r="D14" s="92">
        <v>8</v>
      </c>
      <c r="E14" s="92">
        <f>+ROUND(3400/150+1,0)</f>
        <v>24</v>
      </c>
      <c r="F14" s="5">
        <v>200</v>
      </c>
      <c r="G14" s="5">
        <v>500</v>
      </c>
      <c r="H14" s="5"/>
      <c r="I14" s="5"/>
      <c r="J14" s="5"/>
      <c r="K14" s="5">
        <f>+J14</f>
        <v>0</v>
      </c>
      <c r="L14" s="5">
        <f t="shared" si="6"/>
        <v>0.7</v>
      </c>
      <c r="M14" s="5">
        <f t="shared" si="5"/>
        <v>0</v>
      </c>
      <c r="N14" s="13">
        <f t="shared" si="7"/>
        <v>26.516047305946998</v>
      </c>
      <c r="O14" s="5">
        <v>2</v>
      </c>
      <c r="P14" s="11">
        <f t="shared" si="8"/>
        <v>53.032094611893996</v>
      </c>
    </row>
    <row r="15" spans="1:16" s="9" customFormat="1">
      <c r="A15" s="7"/>
      <c r="B15" s="8" t="s">
        <v>102</v>
      </c>
      <c r="C15" s="21"/>
      <c r="D15" s="21"/>
      <c r="E15" s="21"/>
      <c r="F15" s="8"/>
      <c r="G15" s="8"/>
      <c r="H15" s="8"/>
      <c r="I15" s="8"/>
      <c r="J15" s="8"/>
      <c r="K15" s="8"/>
      <c r="L15" s="8"/>
      <c r="M15" s="8"/>
      <c r="N15" s="17"/>
      <c r="O15" s="8"/>
      <c r="P15" s="16"/>
    </row>
    <row r="16" spans="1:16" ht="23.25" customHeight="1">
      <c r="A16" s="6">
        <v>1</v>
      </c>
      <c r="B16" s="5" t="s">
        <v>101</v>
      </c>
      <c r="C16" s="92">
        <v>1</v>
      </c>
      <c r="D16" s="92">
        <v>16</v>
      </c>
      <c r="E16" s="92">
        <v>4</v>
      </c>
      <c r="F16" s="5">
        <v>12800</v>
      </c>
      <c r="G16" s="5">
        <v>100</v>
      </c>
      <c r="H16" s="5">
        <v>100</v>
      </c>
      <c r="I16" s="5"/>
      <c r="J16" s="5"/>
      <c r="K16" s="5"/>
      <c r="L16" s="5">
        <f>SUM(F16:K16)/1000</f>
        <v>13</v>
      </c>
      <c r="M16" s="5">
        <f>+IF(L16&lt;11.7,0,ROUND(L16/11.7,0)*40*D16)</f>
        <v>640</v>
      </c>
      <c r="N16" s="13">
        <f>+PI()*D16^2*7850*L16/10^6*E16</f>
        <v>328.29391902601049</v>
      </c>
      <c r="O16" s="5">
        <v>2</v>
      </c>
      <c r="P16" s="11">
        <f>+N16*O16</f>
        <v>656.58783805202097</v>
      </c>
    </row>
    <row r="17" spans="1:16" ht="23.25" customHeight="1">
      <c r="A17" s="6">
        <f>+A16+1</f>
        <v>2</v>
      </c>
      <c r="B17" s="5" t="s">
        <v>28</v>
      </c>
      <c r="C17" s="92">
        <v>2</v>
      </c>
      <c r="D17" s="92">
        <v>8</v>
      </c>
      <c r="E17" s="92">
        <f>+ROUND(F16/150+1,0)</f>
        <v>86</v>
      </c>
      <c r="F17" s="5">
        <v>200</v>
      </c>
      <c r="G17" s="5">
        <v>500</v>
      </c>
      <c r="H17" s="5"/>
      <c r="I17" s="5"/>
      <c r="J17" s="5"/>
      <c r="K17" s="5">
        <f>+J17</f>
        <v>0</v>
      </c>
      <c r="L17" s="5">
        <f>SUM(F17:K17)/1000</f>
        <v>0.7</v>
      </c>
      <c r="M17" s="5">
        <f t="shared" ref="M17:M19" si="9">+IF(L17&lt;11.7,0,ROUND(L17/11.7,0)*40*D17)</f>
        <v>0</v>
      </c>
      <c r="N17" s="13">
        <f>+PI()*D17^2*7850*L17/10^6*E17</f>
        <v>95.015836179643415</v>
      </c>
      <c r="O17" s="5">
        <v>2</v>
      </c>
      <c r="P17" s="11">
        <f>+N17*O17</f>
        <v>190.03167235928683</v>
      </c>
    </row>
    <row r="18" spans="1:16" ht="23.25" customHeight="1">
      <c r="A18" s="6">
        <f t="shared" si="1"/>
        <v>3</v>
      </c>
      <c r="B18" s="5" t="s">
        <v>101</v>
      </c>
      <c r="C18" s="92">
        <v>1</v>
      </c>
      <c r="D18" s="92">
        <v>16</v>
      </c>
      <c r="E18" s="92">
        <v>4</v>
      </c>
      <c r="F18" s="5">
        <v>3400</v>
      </c>
      <c r="G18" s="5">
        <v>100</v>
      </c>
      <c r="H18" s="5">
        <v>100</v>
      </c>
      <c r="I18" s="5"/>
      <c r="J18" s="5"/>
      <c r="K18" s="5"/>
      <c r="L18" s="5">
        <f t="shared" ref="L18:L19" si="10">SUM(F18:K18)/1000</f>
        <v>3.6</v>
      </c>
      <c r="M18" s="5">
        <f t="shared" si="9"/>
        <v>0</v>
      </c>
      <c r="N18" s="13">
        <f t="shared" ref="N18:N19" si="11">+PI()*D18^2*7850*L18/10^6*E18</f>
        <v>90.912162191818297</v>
      </c>
      <c r="O18" s="5">
        <v>2</v>
      </c>
      <c r="P18" s="11">
        <f t="shared" ref="P18:P19" si="12">+N18*O18</f>
        <v>181.82432438363659</v>
      </c>
    </row>
    <row r="19" spans="1:16" ht="23.25" customHeight="1">
      <c r="A19" s="6">
        <f t="shared" si="1"/>
        <v>4</v>
      </c>
      <c r="B19" s="5" t="s">
        <v>28</v>
      </c>
      <c r="C19" s="92">
        <v>2</v>
      </c>
      <c r="D19" s="92">
        <v>8</v>
      </c>
      <c r="E19" s="92">
        <f>+ROUND(3400/150+1,0)</f>
        <v>24</v>
      </c>
      <c r="F19" s="5">
        <v>200</v>
      </c>
      <c r="G19" s="5">
        <v>500</v>
      </c>
      <c r="H19" s="5"/>
      <c r="I19" s="5"/>
      <c r="J19" s="5"/>
      <c r="K19" s="5">
        <f>+J19</f>
        <v>0</v>
      </c>
      <c r="L19" s="5">
        <f t="shared" si="10"/>
        <v>0.7</v>
      </c>
      <c r="M19" s="5">
        <f t="shared" si="9"/>
        <v>0</v>
      </c>
      <c r="N19" s="13">
        <f t="shared" si="11"/>
        <v>26.516047305946998</v>
      </c>
      <c r="O19" s="5">
        <v>2</v>
      </c>
      <c r="P19" s="11">
        <f t="shared" si="12"/>
        <v>53.032094611893996</v>
      </c>
    </row>
  </sheetData>
  <mergeCells count="12">
    <mergeCell ref="A1:P1"/>
    <mergeCell ref="A2:A3"/>
    <mergeCell ref="B2:B3"/>
    <mergeCell ref="C2:C3"/>
    <mergeCell ref="D2:D3"/>
    <mergeCell ref="E2:E3"/>
    <mergeCell ref="F2:K2"/>
    <mergeCell ref="L2:L3"/>
    <mergeCell ref="M2:M3"/>
    <mergeCell ref="N2:N3"/>
    <mergeCell ref="O2:O3"/>
    <mergeCell ref="P2:P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27"/>
  <sheetViews>
    <sheetView topLeftCell="A4" workbookViewId="0">
      <selection activeCell="O6" sqref="O6:Q6"/>
    </sheetView>
  </sheetViews>
  <sheetFormatPr defaultColWidth="9.140625" defaultRowHeight="15"/>
  <cols>
    <col min="1" max="1" width="9.140625" style="122"/>
    <col min="2" max="3" width="13.7109375" style="122" customWidth="1"/>
    <col min="4" max="4" width="20.5703125" style="122" customWidth="1"/>
    <col min="5" max="5" width="11.5703125" style="122" customWidth="1"/>
    <col min="6" max="16384" width="9.140625" style="122"/>
  </cols>
  <sheetData>
    <row r="3" spans="1:5">
      <c r="A3" s="122" t="s">
        <v>0</v>
      </c>
      <c r="B3" s="122" t="s">
        <v>129</v>
      </c>
      <c r="C3" s="122" t="s">
        <v>8</v>
      </c>
      <c r="D3" s="122" t="s">
        <v>74</v>
      </c>
      <c r="E3" s="122" t="s">
        <v>130</v>
      </c>
    </row>
    <row r="4" spans="1:5">
      <c r="A4" s="122">
        <v>1</v>
      </c>
      <c r="B4" s="122" t="s">
        <v>131</v>
      </c>
      <c r="C4" s="122" t="s">
        <v>132</v>
      </c>
      <c r="D4" s="122" t="s">
        <v>103</v>
      </c>
      <c r="E4" s="122">
        <v>10</v>
      </c>
    </row>
    <row r="5" spans="1:5">
      <c r="B5" s="122" t="s">
        <v>133</v>
      </c>
      <c r="C5" s="122" t="s">
        <v>132</v>
      </c>
      <c r="E5" s="122">
        <f>+SUM(E6:E9)</f>
        <v>45</v>
      </c>
    </row>
    <row r="6" spans="1:5">
      <c r="D6" s="122" t="s">
        <v>135</v>
      </c>
      <c r="E6" s="122">
        <v>4</v>
      </c>
    </row>
    <row r="7" spans="1:5">
      <c r="D7" s="122" t="s">
        <v>140</v>
      </c>
      <c r="E7" s="122">
        <v>8</v>
      </c>
    </row>
    <row r="8" spans="1:5">
      <c r="D8" s="122" t="s">
        <v>141</v>
      </c>
      <c r="E8" s="122">
        <f>4*2</f>
        <v>8</v>
      </c>
    </row>
    <row r="9" spans="1:5">
      <c r="E9" s="122">
        <f>+SUM(E10:E13)</f>
        <v>25</v>
      </c>
    </row>
    <row r="10" spans="1:5">
      <c r="B10" s="122" t="s">
        <v>134</v>
      </c>
      <c r="D10" s="122" t="s">
        <v>135</v>
      </c>
      <c r="E10" s="122">
        <v>4</v>
      </c>
    </row>
    <row r="11" spans="1:5">
      <c r="D11" s="122" t="s">
        <v>136</v>
      </c>
      <c r="E11" s="122">
        <f>8+5</f>
        <v>13</v>
      </c>
    </row>
    <row r="12" spans="1:5">
      <c r="D12" s="122" t="s">
        <v>137</v>
      </c>
      <c r="E12" s="122">
        <v>4</v>
      </c>
    </row>
    <row r="13" spans="1:5">
      <c r="D13" s="122" t="s">
        <v>141</v>
      </c>
      <c r="E13" s="122">
        <f>4</f>
        <v>4</v>
      </c>
    </row>
    <row r="14" spans="1:5">
      <c r="B14" s="122" t="s">
        <v>138</v>
      </c>
      <c r="E14" s="122">
        <v>14</v>
      </c>
    </row>
    <row r="15" spans="1:5">
      <c r="B15" s="122" t="s">
        <v>139</v>
      </c>
      <c r="E15" s="122">
        <f>+SUM(E16:E19)</f>
        <v>212</v>
      </c>
    </row>
    <row r="16" spans="1:5">
      <c r="D16" s="122" t="s">
        <v>135</v>
      </c>
      <c r="E16" s="122">
        <f>4*2+4*4</f>
        <v>24</v>
      </c>
    </row>
    <row r="17" spans="2:5">
      <c r="D17" s="122" t="s">
        <v>136</v>
      </c>
      <c r="E17" s="122">
        <f>3*4</f>
        <v>12</v>
      </c>
    </row>
    <row r="18" spans="2:5">
      <c r="D18" s="122" t="s">
        <v>137</v>
      </c>
      <c r="E18" s="122">
        <f>4*4+10*4+10*3*4</f>
        <v>176</v>
      </c>
    </row>
    <row r="19" spans="2:5">
      <c r="D19" s="122" t="s">
        <v>141</v>
      </c>
    </row>
    <row r="20" spans="2:5">
      <c r="B20" s="122" t="s">
        <v>143</v>
      </c>
      <c r="E20" s="122">
        <f>+SUM(E21:E25)</f>
        <v>189.35399999999998</v>
      </c>
    </row>
    <row r="21" spans="2:5">
      <c r="D21" s="122" t="s">
        <v>136</v>
      </c>
      <c r="E21" s="122">
        <f>+(0.8+1.6)*(3.4+1.2+3.6+1.2*2)</f>
        <v>25.44</v>
      </c>
    </row>
    <row r="22" spans="2:5">
      <c r="D22" s="122" t="s">
        <v>144</v>
      </c>
      <c r="E22" s="122">
        <f>+(2.8+2.5+2.45+1)*12.8</f>
        <v>112</v>
      </c>
    </row>
    <row r="23" spans="2:5">
      <c r="D23" s="122" t="s">
        <v>145</v>
      </c>
      <c r="E23" s="122">
        <f>+(1.22+2.72)*(2.8*2+2.5)</f>
        <v>31.914000000000001</v>
      </c>
    </row>
    <row r="24" spans="2:5">
      <c r="B24" s="122" t="s">
        <v>142</v>
      </c>
      <c r="E24" s="122">
        <v>20</v>
      </c>
    </row>
    <row r="27" spans="2:5">
      <c r="B27" s="122" t="s">
        <v>146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3:G13"/>
  <sheetViews>
    <sheetView workbookViewId="0">
      <selection activeCell="B10" sqref="B10"/>
    </sheetView>
  </sheetViews>
  <sheetFormatPr defaultColWidth="9.140625" defaultRowHeight="15"/>
  <cols>
    <col min="1" max="1" width="9.140625" style="122"/>
    <col min="2" max="2" width="21.85546875" style="122" customWidth="1"/>
    <col min="3" max="4" width="9.140625" style="122"/>
    <col min="5" max="6" width="14.5703125" style="122" customWidth="1"/>
    <col min="7" max="7" width="14" style="122" bestFit="1" customWidth="1"/>
    <col min="8" max="16384" width="9.140625" style="122"/>
  </cols>
  <sheetData>
    <row r="3" spans="7:7">
      <c r="G3" s="123"/>
    </row>
    <row r="4" spans="7:7">
      <c r="G4" s="123"/>
    </row>
    <row r="5" spans="7:7">
      <c r="G5" s="123"/>
    </row>
    <row r="6" spans="7:7">
      <c r="G6" s="123"/>
    </row>
    <row r="7" spans="7:7">
      <c r="G7" s="123"/>
    </row>
    <row r="8" spans="7:7">
      <c r="G8" s="123"/>
    </row>
    <row r="9" spans="7:7">
      <c r="G9" s="123"/>
    </row>
    <row r="10" spans="7:7">
      <c r="G10" s="123"/>
    </row>
    <row r="11" spans="7:7">
      <c r="G11" s="123"/>
    </row>
    <row r="12" spans="7:7">
      <c r="G12" s="124"/>
    </row>
    <row r="13" spans="7:7">
      <c r="G13" s="123"/>
    </row>
  </sheetData>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topLeftCell="A13" zoomScale="70" zoomScaleNormal="70" workbookViewId="0">
      <selection sqref="A1:XFD1048576"/>
    </sheetView>
  </sheetViews>
  <sheetFormatPr defaultColWidth="9" defaultRowHeight="18.75"/>
  <cols>
    <col min="1" max="1" width="9" style="150"/>
    <col min="2" max="2" width="31.42578125" style="173" customWidth="1"/>
    <col min="3" max="3" width="16.42578125" style="150" customWidth="1"/>
    <col min="4" max="4" width="30.5703125" style="150" customWidth="1"/>
    <col min="5" max="5" width="11.7109375" style="150" bestFit="1" customWidth="1"/>
    <col min="6" max="6" width="11.140625" style="150" bestFit="1" customWidth="1"/>
    <col min="7" max="7" width="14.5703125" style="150" bestFit="1" customWidth="1"/>
    <col min="8" max="10" width="14.28515625" style="150" bestFit="1" customWidth="1"/>
    <col min="11" max="11" width="15.7109375" style="150" bestFit="1" customWidth="1"/>
    <col min="12" max="12" width="20.5703125" style="150" customWidth="1"/>
    <col min="13" max="13" width="25.140625" style="150" customWidth="1"/>
    <col min="14" max="16384" width="9" style="150"/>
  </cols>
  <sheetData>
    <row r="1" spans="1:12" ht="43.5" customHeight="1">
      <c r="A1" s="192" t="s">
        <v>216</v>
      </c>
      <c r="B1" s="192"/>
      <c r="C1" s="192"/>
      <c r="D1" s="192"/>
      <c r="E1" s="192"/>
      <c r="F1" s="192"/>
      <c r="G1" s="192"/>
      <c r="H1" s="192"/>
      <c r="I1" s="192"/>
      <c r="J1" s="192"/>
      <c r="K1" s="192"/>
      <c r="L1" s="192"/>
    </row>
    <row r="2" spans="1:12" ht="28.5" customHeight="1">
      <c r="A2" s="193" t="s">
        <v>183</v>
      </c>
      <c r="B2" s="193" t="s">
        <v>184</v>
      </c>
      <c r="C2" s="193" t="s">
        <v>8</v>
      </c>
      <c r="D2" s="193" t="s">
        <v>185</v>
      </c>
      <c r="E2" s="193" t="s">
        <v>6</v>
      </c>
      <c r="F2" s="193" t="s">
        <v>186</v>
      </c>
      <c r="G2" s="193"/>
      <c r="H2" s="193" t="s">
        <v>187</v>
      </c>
      <c r="I2" s="193"/>
      <c r="J2" s="193" t="s">
        <v>188</v>
      </c>
      <c r="K2" s="193"/>
      <c r="L2" s="193" t="s">
        <v>189</v>
      </c>
    </row>
    <row r="3" spans="1:12" ht="33" customHeight="1">
      <c r="A3" s="193"/>
      <c r="B3" s="193"/>
      <c r="C3" s="193"/>
      <c r="D3" s="193"/>
      <c r="E3" s="193"/>
      <c r="F3" s="151" t="s">
        <v>190</v>
      </c>
      <c r="G3" s="151" t="s">
        <v>191</v>
      </c>
      <c r="H3" s="151" t="s">
        <v>190</v>
      </c>
      <c r="I3" s="151" t="s">
        <v>191</v>
      </c>
      <c r="J3" s="151" t="s">
        <v>190</v>
      </c>
      <c r="K3" s="152" t="s">
        <v>191</v>
      </c>
      <c r="L3" s="193"/>
    </row>
    <row r="4" spans="1:12" ht="44.25" customHeight="1">
      <c r="A4" s="151" t="s">
        <v>10</v>
      </c>
      <c r="B4" s="153" t="s">
        <v>198</v>
      </c>
      <c r="C4" s="151"/>
      <c r="D4" s="151"/>
      <c r="E4" s="151"/>
      <c r="F4" s="154"/>
      <c r="G4" s="151"/>
      <c r="H4" s="154"/>
      <c r="I4" s="154"/>
      <c r="J4" s="155"/>
      <c r="K4" s="156">
        <f>SUM(K7:K14)</f>
        <v>48540800</v>
      </c>
      <c r="L4" s="151"/>
    </row>
    <row r="5" spans="1:12" s="160" customFormat="1" ht="54" customHeight="1">
      <c r="A5" s="157">
        <v>1</v>
      </c>
      <c r="B5" s="158" t="s">
        <v>204</v>
      </c>
      <c r="C5" s="157" t="s">
        <v>9</v>
      </c>
      <c r="D5" s="157"/>
      <c r="E5" s="157">
        <f>E6</f>
        <v>37.44</v>
      </c>
      <c r="F5" s="154"/>
      <c r="G5" s="154">
        <f>F5*E5</f>
        <v>0</v>
      </c>
      <c r="H5" s="154">
        <v>40000</v>
      </c>
      <c r="I5" s="154">
        <f>H5*E5</f>
        <v>1497600</v>
      </c>
      <c r="J5" s="154">
        <f t="shared" ref="J5" si="0">H5+F5</f>
        <v>40000</v>
      </c>
      <c r="K5" s="159">
        <f t="shared" ref="K5" si="1">I5+G5</f>
        <v>1497600</v>
      </c>
      <c r="L5" s="151"/>
    </row>
    <row r="6" spans="1:12" s="166" customFormat="1" ht="63.75" customHeight="1">
      <c r="A6" s="161"/>
      <c r="B6" s="162"/>
      <c r="C6" s="161"/>
      <c r="D6" s="161" t="s">
        <v>211</v>
      </c>
      <c r="E6" s="161">
        <f>7.8*4.8</f>
        <v>37.44</v>
      </c>
      <c r="F6" s="163"/>
      <c r="G6" s="163"/>
      <c r="H6" s="161"/>
      <c r="I6" s="161"/>
      <c r="J6" s="163"/>
      <c r="K6" s="164">
        <f t="shared" ref="K6:K10" si="2">I6+G6</f>
        <v>0</v>
      </c>
      <c r="L6" s="165"/>
    </row>
    <row r="7" spans="1:12" s="160" customFormat="1" ht="63.75" customHeight="1">
      <c r="A7" s="157">
        <f>A5+1</f>
        <v>2</v>
      </c>
      <c r="B7" s="158" t="s">
        <v>205</v>
      </c>
      <c r="C7" s="157" t="s">
        <v>196</v>
      </c>
      <c r="D7" s="157" t="s">
        <v>213</v>
      </c>
      <c r="E7" s="157">
        <f>2*(3.7+2+2.5)</f>
        <v>16.399999999999999</v>
      </c>
      <c r="F7" s="154"/>
      <c r="G7" s="154"/>
      <c r="H7" s="154">
        <v>150000</v>
      </c>
      <c r="I7" s="154">
        <f>H7*E7</f>
        <v>2460000</v>
      </c>
      <c r="J7" s="154">
        <f t="shared" ref="J7" si="3">H7+F7</f>
        <v>150000</v>
      </c>
      <c r="K7" s="159">
        <f t="shared" ref="K7" si="4">I7+G7</f>
        <v>2460000</v>
      </c>
      <c r="L7" s="151"/>
    </row>
    <row r="8" spans="1:12" s="160" customFormat="1" ht="63.75" customHeight="1">
      <c r="A8" s="157">
        <f>+A7+1</f>
        <v>3</v>
      </c>
      <c r="B8" s="158" t="s">
        <v>194</v>
      </c>
      <c r="C8" s="157" t="s">
        <v>192</v>
      </c>
      <c r="D8" s="157"/>
      <c r="E8" s="157">
        <f>E9</f>
        <v>65.599999999999994</v>
      </c>
      <c r="F8" s="154"/>
      <c r="G8" s="154">
        <f t="shared" ref="G8" si="5">F8*E8</f>
        <v>0</v>
      </c>
      <c r="H8" s="154">
        <v>150000</v>
      </c>
      <c r="I8" s="154">
        <f>H8*E8</f>
        <v>9840000</v>
      </c>
      <c r="J8" s="154">
        <f t="shared" ref="J8:J10" si="6">H8+F8</f>
        <v>150000</v>
      </c>
      <c r="K8" s="159">
        <f t="shared" si="2"/>
        <v>9840000</v>
      </c>
      <c r="L8" s="151"/>
    </row>
    <row r="9" spans="1:12" s="166" customFormat="1" ht="63.75" customHeight="1">
      <c r="A9" s="161"/>
      <c r="B9" s="162"/>
      <c r="C9" s="161"/>
      <c r="D9" s="161" t="s">
        <v>212</v>
      </c>
      <c r="E9" s="161">
        <f>8*(3.7+2+2.5)</f>
        <v>65.599999999999994</v>
      </c>
      <c r="F9" s="163"/>
      <c r="G9" s="163"/>
      <c r="H9" s="163"/>
      <c r="I9" s="163"/>
      <c r="J9" s="163"/>
      <c r="K9" s="164"/>
      <c r="L9" s="165"/>
    </row>
    <row r="10" spans="1:12" s="160" customFormat="1" ht="48" customHeight="1">
      <c r="A10" s="157">
        <f>+A8+1</f>
        <v>4</v>
      </c>
      <c r="B10" s="158" t="s">
        <v>217</v>
      </c>
      <c r="C10" s="157" t="s">
        <v>9</v>
      </c>
      <c r="D10" s="157" t="s">
        <v>195</v>
      </c>
      <c r="E10" s="157">
        <f>E9</f>
        <v>65.599999999999994</v>
      </c>
      <c r="F10" s="154"/>
      <c r="G10" s="154">
        <f t="shared" ref="G10:G17" si="7">F10*E10</f>
        <v>0</v>
      </c>
      <c r="H10" s="154">
        <v>30000</v>
      </c>
      <c r="I10" s="154">
        <f>H10*E10</f>
        <v>1967999.9999999998</v>
      </c>
      <c r="J10" s="154">
        <f t="shared" si="6"/>
        <v>30000</v>
      </c>
      <c r="K10" s="159">
        <f t="shared" si="2"/>
        <v>1967999.9999999998</v>
      </c>
      <c r="L10" s="151"/>
    </row>
    <row r="11" spans="1:12" s="160" customFormat="1" ht="65.25" customHeight="1">
      <c r="A11" s="157">
        <f>+A10+1</f>
        <v>5</v>
      </c>
      <c r="B11" s="158" t="s">
        <v>209</v>
      </c>
      <c r="C11" s="157" t="s">
        <v>9</v>
      </c>
      <c r="D11" s="157" t="s">
        <v>195</v>
      </c>
      <c r="E11" s="157">
        <f>E10</f>
        <v>65.599999999999994</v>
      </c>
      <c r="F11" s="154">
        <v>70000</v>
      </c>
      <c r="G11" s="154">
        <f t="shared" ref="G11:G12" si="8">F11*E11</f>
        <v>4592000</v>
      </c>
      <c r="H11" s="154">
        <v>30000</v>
      </c>
      <c r="I11" s="154">
        <f>H11*E11</f>
        <v>1967999.9999999998</v>
      </c>
      <c r="J11" s="154">
        <f t="shared" ref="J11:J12" si="9">H11+F11</f>
        <v>100000</v>
      </c>
      <c r="K11" s="159">
        <f t="shared" ref="K11:K12" si="10">I11+G11</f>
        <v>6560000</v>
      </c>
      <c r="L11" s="157" t="s">
        <v>206</v>
      </c>
    </row>
    <row r="12" spans="1:12" s="160" customFormat="1" ht="82.5" customHeight="1">
      <c r="A12" s="157">
        <f t="shared" ref="A12:A14" si="11">+A11+1</f>
        <v>6</v>
      </c>
      <c r="B12" s="158" t="s">
        <v>220</v>
      </c>
      <c r="C12" s="157" t="s">
        <v>9</v>
      </c>
      <c r="D12" s="157" t="s">
        <v>221</v>
      </c>
      <c r="E12" s="157">
        <f>E10</f>
        <v>65.599999999999994</v>
      </c>
      <c r="F12" s="154">
        <f>300000*0.7</f>
        <v>210000</v>
      </c>
      <c r="G12" s="154">
        <f t="shared" si="8"/>
        <v>13775999.999999998</v>
      </c>
      <c r="H12" s="154">
        <v>110000</v>
      </c>
      <c r="I12" s="154">
        <f>H12*E12</f>
        <v>7215999.9999999991</v>
      </c>
      <c r="J12" s="154">
        <f t="shared" si="9"/>
        <v>320000</v>
      </c>
      <c r="K12" s="159">
        <f t="shared" si="10"/>
        <v>20991999.999999996</v>
      </c>
      <c r="L12" s="177"/>
    </row>
    <row r="13" spans="1:12" s="160" customFormat="1" ht="48" customHeight="1">
      <c r="A13" s="157">
        <f t="shared" si="11"/>
        <v>7</v>
      </c>
      <c r="B13" s="158" t="s">
        <v>207</v>
      </c>
      <c r="C13" s="157" t="s">
        <v>9</v>
      </c>
      <c r="D13" s="157" t="s">
        <v>197</v>
      </c>
      <c r="E13" s="157">
        <f>E7</f>
        <v>16.399999999999999</v>
      </c>
      <c r="F13" s="154">
        <v>150000</v>
      </c>
      <c r="G13" s="154">
        <f t="shared" si="7"/>
        <v>2460000</v>
      </c>
      <c r="H13" s="154">
        <v>100000</v>
      </c>
      <c r="I13" s="154">
        <f t="shared" ref="I13" si="12">H13*E13</f>
        <v>1639999.9999999998</v>
      </c>
      <c r="J13" s="154">
        <f t="shared" ref="J13:J14" si="13">H13+F13</f>
        <v>250000</v>
      </c>
      <c r="K13" s="159">
        <f t="shared" ref="K13:K14" si="14">I13+G13</f>
        <v>4100000</v>
      </c>
      <c r="L13" s="151"/>
    </row>
    <row r="14" spans="1:12" s="160" customFormat="1" ht="48" customHeight="1">
      <c r="A14" s="157">
        <f t="shared" si="11"/>
        <v>8</v>
      </c>
      <c r="B14" s="158" t="s">
        <v>199</v>
      </c>
      <c r="C14" s="157" t="s">
        <v>9</v>
      </c>
      <c r="D14" s="157"/>
      <c r="E14" s="157">
        <f>E6</f>
        <v>37.44</v>
      </c>
      <c r="F14" s="154">
        <v>10000</v>
      </c>
      <c r="G14" s="154">
        <f t="shared" si="7"/>
        <v>374400</v>
      </c>
      <c r="H14" s="154">
        <v>60000</v>
      </c>
      <c r="I14" s="154">
        <f t="shared" ref="I14:I17" si="15">H14*E14</f>
        <v>2246400</v>
      </c>
      <c r="J14" s="154">
        <f t="shared" si="13"/>
        <v>70000</v>
      </c>
      <c r="K14" s="159">
        <f t="shared" si="14"/>
        <v>2620800</v>
      </c>
      <c r="L14" s="157" t="s">
        <v>214</v>
      </c>
    </row>
    <row r="15" spans="1:12" s="160" customFormat="1" ht="48" customHeight="1">
      <c r="A15" s="151" t="s">
        <v>12</v>
      </c>
      <c r="B15" s="153" t="s">
        <v>200</v>
      </c>
      <c r="C15" s="151"/>
      <c r="D15" s="151"/>
      <c r="E15" s="151"/>
      <c r="F15" s="155"/>
      <c r="G15" s="155">
        <f t="shared" si="7"/>
        <v>0</v>
      </c>
      <c r="H15" s="155"/>
      <c r="I15" s="155">
        <f t="shared" si="15"/>
        <v>0</v>
      </c>
      <c r="J15" s="155">
        <f t="shared" ref="J15:J17" si="16">H15+F15</f>
        <v>0</v>
      </c>
      <c r="K15" s="156">
        <f>SUM(K16:K16)</f>
        <v>2109240.0000000005</v>
      </c>
      <c r="L15" s="151"/>
    </row>
    <row r="16" spans="1:12" s="160" customFormat="1" ht="48" customHeight="1">
      <c r="A16" s="151">
        <v>1</v>
      </c>
      <c r="B16" s="158" t="s">
        <v>193</v>
      </c>
      <c r="C16" s="157" t="s">
        <v>9</v>
      </c>
      <c r="D16" s="157" t="s">
        <v>215</v>
      </c>
      <c r="E16" s="167">
        <f>2*(7.8+4.8)*3.1*0.9</f>
        <v>70.308000000000007</v>
      </c>
      <c r="F16" s="154">
        <v>20000</v>
      </c>
      <c r="G16" s="154">
        <f t="shared" si="7"/>
        <v>1406160.0000000002</v>
      </c>
      <c r="H16" s="154">
        <v>10000</v>
      </c>
      <c r="I16" s="154">
        <f t="shared" si="15"/>
        <v>703080.00000000012</v>
      </c>
      <c r="J16" s="154">
        <f t="shared" si="16"/>
        <v>30000</v>
      </c>
      <c r="K16" s="159">
        <f t="shared" ref="K16" si="17">I16+G16</f>
        <v>2109240.0000000005</v>
      </c>
      <c r="L16" s="151"/>
    </row>
    <row r="17" spans="1:12" s="160" customFormat="1" ht="48" customHeight="1">
      <c r="A17" s="151" t="s">
        <v>164</v>
      </c>
      <c r="B17" s="153" t="s">
        <v>201</v>
      </c>
      <c r="C17" s="151"/>
      <c r="D17" s="151"/>
      <c r="E17" s="151"/>
      <c r="F17" s="155"/>
      <c r="G17" s="155">
        <f t="shared" si="7"/>
        <v>0</v>
      </c>
      <c r="H17" s="151"/>
      <c r="I17" s="155">
        <f t="shared" si="15"/>
        <v>0</v>
      </c>
      <c r="J17" s="155">
        <f t="shared" si="16"/>
        <v>0</v>
      </c>
      <c r="K17" s="156">
        <f>SUM(K18:K20)</f>
        <v>14827200</v>
      </c>
      <c r="L17" s="151"/>
    </row>
    <row r="18" spans="1:12" s="160" customFormat="1" ht="48" customHeight="1">
      <c r="A18" s="151"/>
      <c r="B18" s="158" t="s">
        <v>202</v>
      </c>
      <c r="C18" s="157" t="s">
        <v>9</v>
      </c>
      <c r="D18" s="157"/>
      <c r="E18" s="157">
        <f>E5</f>
        <v>37.44</v>
      </c>
      <c r="F18" s="154">
        <v>50000</v>
      </c>
      <c r="G18" s="154">
        <f t="shared" ref="G18:G20" si="18">F18*E18</f>
        <v>1872000</v>
      </c>
      <c r="H18" s="154">
        <v>50000</v>
      </c>
      <c r="I18" s="154">
        <f t="shared" ref="I18:I21" si="19">H18*E18</f>
        <v>1872000</v>
      </c>
      <c r="J18" s="154">
        <f t="shared" ref="J18:J20" si="20">H18+F18</f>
        <v>100000</v>
      </c>
      <c r="K18" s="159">
        <f t="shared" ref="K18:K20" si="21">I18+G18</f>
        <v>3744000</v>
      </c>
      <c r="L18" s="151"/>
    </row>
    <row r="19" spans="1:12" s="160" customFormat="1" ht="23.25" customHeight="1">
      <c r="A19" s="151"/>
      <c r="B19" s="158" t="s">
        <v>203</v>
      </c>
      <c r="C19" s="151"/>
      <c r="D19" s="151"/>
      <c r="E19" s="157">
        <f>E6</f>
        <v>37.44</v>
      </c>
      <c r="F19" s="154">
        <v>200000</v>
      </c>
      <c r="G19" s="154">
        <f t="shared" ref="G19" si="22">F19*E19</f>
        <v>7488000</v>
      </c>
      <c r="H19" s="154">
        <v>80000</v>
      </c>
      <c r="I19" s="154">
        <f t="shared" ref="I19" si="23">H19*E19</f>
        <v>2995200</v>
      </c>
      <c r="J19" s="154">
        <f>H19+F19</f>
        <v>280000</v>
      </c>
      <c r="K19" s="159">
        <f t="shared" ref="K19" si="24">I19+G19</f>
        <v>10483200</v>
      </c>
      <c r="L19" s="151"/>
    </row>
    <row r="20" spans="1:12" s="160" customFormat="1" ht="23.25" customHeight="1">
      <c r="A20" s="151"/>
      <c r="B20" s="158" t="s">
        <v>208</v>
      </c>
      <c r="C20" s="157" t="s">
        <v>158</v>
      </c>
      <c r="D20" s="157"/>
      <c r="E20" s="157">
        <v>6</v>
      </c>
      <c r="F20" s="154">
        <v>50000</v>
      </c>
      <c r="G20" s="154">
        <f t="shared" si="18"/>
        <v>300000</v>
      </c>
      <c r="H20" s="154">
        <v>50000</v>
      </c>
      <c r="I20" s="154">
        <f t="shared" si="19"/>
        <v>300000</v>
      </c>
      <c r="J20" s="154">
        <f t="shared" si="20"/>
        <v>100000</v>
      </c>
      <c r="K20" s="159">
        <f t="shared" si="21"/>
        <v>600000</v>
      </c>
      <c r="L20" s="151"/>
    </row>
    <row r="21" spans="1:12" s="160" customFormat="1" ht="54.75" customHeight="1">
      <c r="A21" s="151" t="s">
        <v>218</v>
      </c>
      <c r="B21" s="153" t="s">
        <v>210</v>
      </c>
      <c r="C21" s="151" t="s">
        <v>67</v>
      </c>
      <c r="D21" s="151"/>
      <c r="E21" s="151">
        <v>1</v>
      </c>
      <c r="F21" s="155"/>
      <c r="G21" s="155"/>
      <c r="H21" s="155">
        <v>3000000</v>
      </c>
      <c r="I21" s="155">
        <f t="shared" si="19"/>
        <v>3000000</v>
      </c>
      <c r="J21" s="155">
        <f t="shared" ref="J21" si="25">H21+F21</f>
        <v>3000000</v>
      </c>
      <c r="K21" s="156">
        <f t="shared" ref="K21" si="26">I21+G21</f>
        <v>3000000</v>
      </c>
      <c r="L21" s="151"/>
    </row>
    <row r="22" spans="1:12">
      <c r="A22" s="168"/>
      <c r="B22" s="169" t="s">
        <v>219</v>
      </c>
      <c r="C22" s="168"/>
      <c r="D22" s="168"/>
      <c r="E22" s="170"/>
      <c r="F22" s="171"/>
      <c r="G22" s="172"/>
      <c r="H22" s="171"/>
      <c r="I22" s="172"/>
      <c r="J22" s="171"/>
      <c r="K22" s="172">
        <f>K4+K15+K17+K21</f>
        <v>68477240</v>
      </c>
      <c r="L22" s="168"/>
    </row>
    <row r="24" spans="1:12">
      <c r="L24" s="174"/>
    </row>
  </sheetData>
  <mergeCells count="10">
    <mergeCell ref="A1:L1"/>
    <mergeCell ref="A2:A3"/>
    <mergeCell ref="B2:B3"/>
    <mergeCell ref="C2:C3"/>
    <mergeCell ref="D2:D3"/>
    <mergeCell ref="E2:E3"/>
    <mergeCell ref="F2:G2"/>
    <mergeCell ref="H2:I2"/>
    <mergeCell ref="J2:K2"/>
    <mergeCell ref="L2:L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zoomScale="70" zoomScaleNormal="70" workbookViewId="0">
      <selection activeCell="F9" sqref="F9"/>
    </sheetView>
  </sheetViews>
  <sheetFormatPr defaultColWidth="9" defaultRowHeight="18.75"/>
  <cols>
    <col min="1" max="1" width="9" style="150"/>
    <col min="2" max="2" width="31.42578125" style="173" customWidth="1"/>
    <col min="3" max="3" width="16.42578125" style="150" customWidth="1"/>
    <col min="4" max="4" width="30.5703125" style="150" customWidth="1"/>
    <col min="5" max="5" width="11.7109375" style="150" bestFit="1" customWidth="1"/>
    <col min="6" max="6" width="11.140625" style="150" bestFit="1" customWidth="1"/>
    <col min="7" max="7" width="14.5703125" style="150" bestFit="1" customWidth="1"/>
    <col min="8" max="10" width="14.28515625" style="150" bestFit="1" customWidth="1"/>
    <col min="11" max="11" width="15.7109375" style="150" bestFit="1" customWidth="1"/>
    <col min="12" max="12" width="20.5703125" style="150" customWidth="1"/>
    <col min="13" max="13" width="25.140625" style="150" customWidth="1"/>
    <col min="14" max="16384" width="9" style="150"/>
  </cols>
  <sheetData>
    <row r="1" spans="1:12" ht="43.5" customHeight="1">
      <c r="A1" s="192" t="s">
        <v>216</v>
      </c>
      <c r="B1" s="192"/>
      <c r="C1" s="192"/>
      <c r="D1" s="192"/>
      <c r="E1" s="192"/>
      <c r="F1" s="192"/>
      <c r="G1" s="192"/>
      <c r="H1" s="192"/>
      <c r="I1" s="192"/>
      <c r="J1" s="192"/>
      <c r="K1" s="192"/>
      <c r="L1" s="192"/>
    </row>
    <row r="2" spans="1:12" ht="28.5" customHeight="1">
      <c r="A2" s="193" t="s">
        <v>183</v>
      </c>
      <c r="B2" s="193" t="s">
        <v>184</v>
      </c>
      <c r="C2" s="193" t="s">
        <v>8</v>
      </c>
      <c r="D2" s="193" t="s">
        <v>185</v>
      </c>
      <c r="E2" s="193" t="s">
        <v>6</v>
      </c>
      <c r="F2" s="193" t="s">
        <v>186</v>
      </c>
      <c r="G2" s="193"/>
      <c r="H2" s="193" t="s">
        <v>187</v>
      </c>
      <c r="I2" s="193"/>
      <c r="J2" s="193" t="s">
        <v>188</v>
      </c>
      <c r="K2" s="193"/>
      <c r="L2" s="193" t="s">
        <v>189</v>
      </c>
    </row>
    <row r="3" spans="1:12" ht="33" customHeight="1">
      <c r="A3" s="193"/>
      <c r="B3" s="193"/>
      <c r="C3" s="193"/>
      <c r="D3" s="193"/>
      <c r="E3" s="193"/>
      <c r="F3" s="175" t="s">
        <v>190</v>
      </c>
      <c r="G3" s="175" t="s">
        <v>191</v>
      </c>
      <c r="H3" s="175" t="s">
        <v>190</v>
      </c>
      <c r="I3" s="175" t="s">
        <v>191</v>
      </c>
      <c r="J3" s="175" t="s">
        <v>190</v>
      </c>
      <c r="K3" s="152" t="s">
        <v>191</v>
      </c>
      <c r="L3" s="193"/>
    </row>
    <row r="4" spans="1:12" ht="44.25" customHeight="1">
      <c r="A4" s="175" t="s">
        <v>10</v>
      </c>
      <c r="B4" s="153" t="s">
        <v>198</v>
      </c>
      <c r="C4" s="175"/>
      <c r="D4" s="175"/>
      <c r="E4" s="175"/>
      <c r="F4" s="154"/>
      <c r="G4" s="175"/>
      <c r="H4" s="154"/>
      <c r="I4" s="154"/>
      <c r="J4" s="155"/>
      <c r="K4" s="156">
        <f>SUM(K7:K14)</f>
        <v>48540800</v>
      </c>
      <c r="L4" s="175"/>
    </row>
    <row r="5" spans="1:12" s="160" customFormat="1" ht="54" customHeight="1">
      <c r="A5" s="157">
        <v>1</v>
      </c>
      <c r="B5" s="158" t="s">
        <v>204</v>
      </c>
      <c r="C5" s="157" t="s">
        <v>9</v>
      </c>
      <c r="D5" s="157"/>
      <c r="E5" s="157">
        <f>E6</f>
        <v>37.44</v>
      </c>
      <c r="F5" s="154"/>
      <c r="G5" s="154">
        <f>F5*E5</f>
        <v>0</v>
      </c>
      <c r="H5" s="154">
        <v>40000</v>
      </c>
      <c r="I5" s="154">
        <f>H5*E5</f>
        <v>1497600</v>
      </c>
      <c r="J5" s="154">
        <f t="shared" ref="J5:K14" si="0">H5+F5</f>
        <v>40000</v>
      </c>
      <c r="K5" s="159">
        <f t="shared" si="0"/>
        <v>1497600</v>
      </c>
      <c r="L5" s="175"/>
    </row>
    <row r="6" spans="1:12" s="166" customFormat="1" ht="63.75" customHeight="1">
      <c r="A6" s="161"/>
      <c r="B6" s="162"/>
      <c r="C6" s="161"/>
      <c r="D6" s="161" t="s">
        <v>211</v>
      </c>
      <c r="E6" s="161">
        <f>7.8*4.8</f>
        <v>37.44</v>
      </c>
      <c r="F6" s="163"/>
      <c r="G6" s="163"/>
      <c r="H6" s="161"/>
      <c r="I6" s="161"/>
      <c r="J6" s="163"/>
      <c r="K6" s="164">
        <f t="shared" si="0"/>
        <v>0</v>
      </c>
      <c r="L6" s="165"/>
    </row>
    <row r="7" spans="1:12" s="160" customFormat="1" ht="63.75" customHeight="1">
      <c r="A7" s="157">
        <f>A5+1</f>
        <v>2</v>
      </c>
      <c r="B7" s="158" t="s">
        <v>205</v>
      </c>
      <c r="C7" s="157" t="s">
        <v>196</v>
      </c>
      <c r="D7" s="157" t="s">
        <v>213</v>
      </c>
      <c r="E7" s="157">
        <f>2*(3.7+2+2.5)</f>
        <v>16.399999999999999</v>
      </c>
      <c r="F7" s="154"/>
      <c r="G7" s="154"/>
      <c r="H7" s="154">
        <v>150000</v>
      </c>
      <c r="I7" s="154">
        <f>H7*E7</f>
        <v>2460000</v>
      </c>
      <c r="J7" s="154">
        <f t="shared" ref="J7:K20" si="1">H7+F7</f>
        <v>150000</v>
      </c>
      <c r="K7" s="159">
        <f t="shared" si="0"/>
        <v>2460000</v>
      </c>
      <c r="L7" s="175"/>
    </row>
    <row r="8" spans="1:12" s="160" customFormat="1" ht="63.75" customHeight="1">
      <c r="A8" s="157">
        <f>+A7+1</f>
        <v>3</v>
      </c>
      <c r="B8" s="158" t="s">
        <v>194</v>
      </c>
      <c r="C8" s="157" t="s">
        <v>192</v>
      </c>
      <c r="D8" s="157"/>
      <c r="E8" s="157">
        <f>E9</f>
        <v>65.599999999999994</v>
      </c>
      <c r="F8" s="154"/>
      <c r="G8" s="154">
        <f t="shared" ref="G8" si="2">F8*E8</f>
        <v>0</v>
      </c>
      <c r="H8" s="154">
        <v>150000</v>
      </c>
      <c r="I8" s="154">
        <f>H8*E8</f>
        <v>9840000</v>
      </c>
      <c r="J8" s="154">
        <f t="shared" si="1"/>
        <v>150000</v>
      </c>
      <c r="K8" s="159">
        <f t="shared" si="0"/>
        <v>9840000</v>
      </c>
      <c r="L8" s="175"/>
    </row>
    <row r="9" spans="1:12" s="166" customFormat="1" ht="63.75" customHeight="1">
      <c r="A9" s="161"/>
      <c r="B9" s="162"/>
      <c r="C9" s="161"/>
      <c r="D9" s="161" t="s">
        <v>212</v>
      </c>
      <c r="E9" s="161">
        <f>8*(3.7+2+2.5)</f>
        <v>65.599999999999994</v>
      </c>
      <c r="F9" s="163"/>
      <c r="G9" s="163"/>
      <c r="H9" s="163"/>
      <c r="I9" s="163"/>
      <c r="J9" s="163"/>
      <c r="K9" s="164"/>
      <c r="L9" s="165"/>
    </row>
    <row r="10" spans="1:12" s="160" customFormat="1" ht="48" customHeight="1">
      <c r="A10" s="157">
        <f>+A8+1</f>
        <v>4</v>
      </c>
      <c r="B10" s="158" t="s">
        <v>217</v>
      </c>
      <c r="C10" s="157" t="s">
        <v>9</v>
      </c>
      <c r="D10" s="157" t="s">
        <v>195</v>
      </c>
      <c r="E10" s="157">
        <f>E9</f>
        <v>65.599999999999994</v>
      </c>
      <c r="F10" s="154"/>
      <c r="G10" s="154">
        <f t="shared" ref="G10:G19" si="3">F10*E10</f>
        <v>0</v>
      </c>
      <c r="H10" s="154">
        <v>30000</v>
      </c>
      <c r="I10" s="154">
        <f>H10*E10</f>
        <v>1967999.9999999998</v>
      </c>
      <c r="J10" s="154">
        <f t="shared" si="1"/>
        <v>30000</v>
      </c>
      <c r="K10" s="159">
        <f t="shared" si="0"/>
        <v>1967999.9999999998</v>
      </c>
      <c r="L10" s="175"/>
    </row>
    <row r="11" spans="1:12" s="160" customFormat="1" ht="65.25" customHeight="1">
      <c r="A11" s="157">
        <f>+A10+1</f>
        <v>5</v>
      </c>
      <c r="B11" s="158" t="s">
        <v>209</v>
      </c>
      <c r="C11" s="157" t="s">
        <v>9</v>
      </c>
      <c r="D11" s="157" t="s">
        <v>195</v>
      </c>
      <c r="E11" s="157">
        <f>E10</f>
        <v>65.599999999999994</v>
      </c>
      <c r="F11" s="154">
        <v>70000</v>
      </c>
      <c r="G11" s="154">
        <f t="shared" si="3"/>
        <v>4592000</v>
      </c>
      <c r="H11" s="154">
        <v>30000</v>
      </c>
      <c r="I11" s="154">
        <f>H11*E11</f>
        <v>1967999.9999999998</v>
      </c>
      <c r="J11" s="154">
        <f t="shared" si="1"/>
        <v>100000</v>
      </c>
      <c r="K11" s="159">
        <f t="shared" si="0"/>
        <v>6560000</v>
      </c>
      <c r="L11" s="176" t="s">
        <v>206</v>
      </c>
    </row>
    <row r="12" spans="1:12" s="160" customFormat="1" ht="96" customHeight="1">
      <c r="A12" s="157">
        <f t="shared" ref="A12:A14" si="4">+A11+1</f>
        <v>6</v>
      </c>
      <c r="B12" s="158" t="s">
        <v>220</v>
      </c>
      <c r="C12" s="157" t="s">
        <v>9</v>
      </c>
      <c r="D12" s="157" t="s">
        <v>221</v>
      </c>
      <c r="E12" s="157">
        <f>E10</f>
        <v>65.599999999999994</v>
      </c>
      <c r="F12" s="154">
        <f>300000*0.7</f>
        <v>210000</v>
      </c>
      <c r="G12" s="154">
        <f t="shared" si="3"/>
        <v>13775999.999999998</v>
      </c>
      <c r="H12" s="154">
        <v>110000</v>
      </c>
      <c r="I12" s="154">
        <f>H12*E12</f>
        <v>7215999.9999999991</v>
      </c>
      <c r="J12" s="154">
        <f t="shared" si="1"/>
        <v>320000</v>
      </c>
      <c r="K12" s="159">
        <f t="shared" si="0"/>
        <v>20991999.999999996</v>
      </c>
      <c r="L12" s="175"/>
    </row>
    <row r="13" spans="1:12" s="160" customFormat="1" ht="48" customHeight="1">
      <c r="A13" s="157">
        <f t="shared" si="4"/>
        <v>7</v>
      </c>
      <c r="B13" s="158" t="s">
        <v>207</v>
      </c>
      <c r="C13" s="157" t="s">
        <v>9</v>
      </c>
      <c r="D13" s="157" t="s">
        <v>197</v>
      </c>
      <c r="E13" s="157">
        <f>E7</f>
        <v>16.399999999999999</v>
      </c>
      <c r="F13" s="154">
        <v>150000</v>
      </c>
      <c r="G13" s="154">
        <f t="shared" si="3"/>
        <v>2460000</v>
      </c>
      <c r="H13" s="154">
        <v>100000</v>
      </c>
      <c r="I13" s="154">
        <f t="shared" ref="I13:I20" si="5">H13*E13</f>
        <v>1639999.9999999998</v>
      </c>
      <c r="J13" s="154">
        <f t="shared" si="1"/>
        <v>250000</v>
      </c>
      <c r="K13" s="159">
        <f t="shared" si="0"/>
        <v>4100000</v>
      </c>
      <c r="L13" s="175"/>
    </row>
    <row r="14" spans="1:12" s="160" customFormat="1" ht="48" customHeight="1">
      <c r="A14" s="157">
        <f t="shared" si="4"/>
        <v>8</v>
      </c>
      <c r="B14" s="158" t="s">
        <v>199</v>
      </c>
      <c r="C14" s="157" t="s">
        <v>9</v>
      </c>
      <c r="D14" s="157"/>
      <c r="E14" s="157">
        <f>E6</f>
        <v>37.44</v>
      </c>
      <c r="F14" s="154">
        <v>10000</v>
      </c>
      <c r="G14" s="154">
        <f t="shared" si="3"/>
        <v>374400</v>
      </c>
      <c r="H14" s="154">
        <v>60000</v>
      </c>
      <c r="I14" s="154">
        <f t="shared" si="5"/>
        <v>2246400</v>
      </c>
      <c r="J14" s="154">
        <f t="shared" si="1"/>
        <v>70000</v>
      </c>
      <c r="K14" s="159">
        <f t="shared" si="0"/>
        <v>2620800</v>
      </c>
      <c r="L14" s="157" t="s">
        <v>214</v>
      </c>
    </row>
    <row r="15" spans="1:12" s="160" customFormat="1" ht="48" customHeight="1">
      <c r="A15" s="175" t="s">
        <v>12</v>
      </c>
      <c r="B15" s="153" t="s">
        <v>200</v>
      </c>
      <c r="C15" s="175"/>
      <c r="D15" s="175"/>
      <c r="E15" s="175"/>
      <c r="F15" s="155"/>
      <c r="G15" s="155">
        <f t="shared" si="3"/>
        <v>0</v>
      </c>
      <c r="H15" s="155"/>
      <c r="I15" s="155">
        <f t="shared" si="5"/>
        <v>0</v>
      </c>
      <c r="J15" s="155">
        <f t="shared" si="1"/>
        <v>0</v>
      </c>
      <c r="K15" s="156">
        <f>SUM(K16:K16)</f>
        <v>2109240.0000000005</v>
      </c>
      <c r="L15" s="175"/>
    </row>
    <row r="16" spans="1:12" s="160" customFormat="1" ht="48" customHeight="1">
      <c r="A16" s="157">
        <v>1</v>
      </c>
      <c r="B16" s="158" t="s">
        <v>193</v>
      </c>
      <c r="C16" s="157" t="s">
        <v>9</v>
      </c>
      <c r="D16" s="157" t="s">
        <v>215</v>
      </c>
      <c r="E16" s="167">
        <f>2*(7.8+4.8)*3.1*0.9</f>
        <v>70.308000000000007</v>
      </c>
      <c r="F16" s="154">
        <v>20000</v>
      </c>
      <c r="G16" s="154">
        <f t="shared" si="3"/>
        <v>1406160.0000000002</v>
      </c>
      <c r="H16" s="154">
        <v>10000</v>
      </c>
      <c r="I16" s="154">
        <f t="shared" si="5"/>
        <v>703080.00000000012</v>
      </c>
      <c r="J16" s="154">
        <f t="shared" si="1"/>
        <v>30000</v>
      </c>
      <c r="K16" s="159">
        <f t="shared" si="1"/>
        <v>2109240.0000000005</v>
      </c>
      <c r="L16" s="175"/>
    </row>
    <row r="17" spans="1:12" s="160" customFormat="1" ht="48" customHeight="1">
      <c r="A17" s="175" t="s">
        <v>164</v>
      </c>
      <c r="B17" s="153" t="s">
        <v>201</v>
      </c>
      <c r="C17" s="175"/>
      <c r="D17" s="175"/>
      <c r="E17" s="175"/>
      <c r="F17" s="155"/>
      <c r="G17" s="155">
        <f t="shared" si="3"/>
        <v>0</v>
      </c>
      <c r="H17" s="175"/>
      <c r="I17" s="155">
        <f t="shared" si="5"/>
        <v>0</v>
      </c>
      <c r="J17" s="155">
        <f t="shared" si="1"/>
        <v>0</v>
      </c>
      <c r="K17" s="156">
        <f>SUM(K18:K19)</f>
        <v>6216000</v>
      </c>
      <c r="L17" s="175"/>
    </row>
    <row r="18" spans="1:12" s="160" customFormat="1" ht="48" customHeight="1">
      <c r="A18" s="157">
        <v>1</v>
      </c>
      <c r="B18" s="158" t="s">
        <v>202</v>
      </c>
      <c r="C18" s="157" t="s">
        <v>9</v>
      </c>
      <c r="D18" s="157"/>
      <c r="E18" s="157">
        <f>E5</f>
        <v>37.44</v>
      </c>
      <c r="F18" s="154">
        <v>70000</v>
      </c>
      <c r="G18" s="154">
        <f t="shared" si="3"/>
        <v>2620800</v>
      </c>
      <c r="H18" s="154">
        <v>80000</v>
      </c>
      <c r="I18" s="154">
        <f t="shared" si="5"/>
        <v>2995200</v>
      </c>
      <c r="J18" s="154">
        <f t="shared" si="1"/>
        <v>150000</v>
      </c>
      <c r="K18" s="159">
        <f t="shared" si="1"/>
        <v>5616000</v>
      </c>
      <c r="L18" s="175"/>
    </row>
    <row r="19" spans="1:12" s="160" customFormat="1" ht="23.25" customHeight="1">
      <c r="A19" s="157">
        <v>2</v>
      </c>
      <c r="B19" s="158" t="s">
        <v>208</v>
      </c>
      <c r="C19" s="157" t="s">
        <v>158</v>
      </c>
      <c r="D19" s="157"/>
      <c r="E19" s="157">
        <v>6</v>
      </c>
      <c r="F19" s="154">
        <v>50000</v>
      </c>
      <c r="G19" s="154">
        <f t="shared" si="3"/>
        <v>300000</v>
      </c>
      <c r="H19" s="154">
        <v>50000</v>
      </c>
      <c r="I19" s="154">
        <f t="shared" si="5"/>
        <v>300000</v>
      </c>
      <c r="J19" s="154">
        <f t="shared" si="1"/>
        <v>100000</v>
      </c>
      <c r="K19" s="159">
        <f t="shared" si="1"/>
        <v>600000</v>
      </c>
      <c r="L19" s="175"/>
    </row>
    <row r="20" spans="1:12" s="160" customFormat="1" ht="54.75" customHeight="1">
      <c r="A20" s="175" t="s">
        <v>218</v>
      </c>
      <c r="B20" s="153" t="s">
        <v>210</v>
      </c>
      <c r="C20" s="175" t="s">
        <v>67</v>
      </c>
      <c r="D20" s="175"/>
      <c r="E20" s="175">
        <v>1</v>
      </c>
      <c r="F20" s="155"/>
      <c r="G20" s="155"/>
      <c r="H20" s="155">
        <v>3000000</v>
      </c>
      <c r="I20" s="155">
        <f t="shared" si="5"/>
        <v>3000000</v>
      </c>
      <c r="J20" s="155">
        <f t="shared" si="1"/>
        <v>3000000</v>
      </c>
      <c r="K20" s="156">
        <f t="shared" si="1"/>
        <v>3000000</v>
      </c>
      <c r="L20" s="175"/>
    </row>
    <row r="21" spans="1:12">
      <c r="A21" s="168"/>
      <c r="B21" s="169" t="s">
        <v>219</v>
      </c>
      <c r="C21" s="168"/>
      <c r="D21" s="168"/>
      <c r="E21" s="170"/>
      <c r="F21" s="171"/>
      <c r="G21" s="172"/>
      <c r="H21" s="171"/>
      <c r="I21" s="172"/>
      <c r="J21" s="171"/>
      <c r="K21" s="172">
        <f>K4+K15+K17+K20</f>
        <v>59866040</v>
      </c>
      <c r="L21" s="168"/>
    </row>
    <row r="23" spans="1:12">
      <c r="L23" s="174"/>
    </row>
  </sheetData>
  <mergeCells count="10">
    <mergeCell ref="A1:L1"/>
    <mergeCell ref="A2:A3"/>
    <mergeCell ref="B2:B3"/>
    <mergeCell ref="C2:C3"/>
    <mergeCell ref="D2:D3"/>
    <mergeCell ref="E2:E3"/>
    <mergeCell ref="F2:G2"/>
    <mergeCell ref="H2:I2"/>
    <mergeCell ref="J2:K2"/>
    <mergeCell ref="L2:L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Views>
    <sheetView tabSelected="1" zoomScale="85" zoomScaleNormal="85" workbookViewId="0">
      <selection activeCell="D37" sqref="D37"/>
    </sheetView>
  </sheetViews>
  <sheetFormatPr defaultColWidth="9" defaultRowHeight="18.75"/>
  <cols>
    <col min="1" max="1" width="9" style="150"/>
    <col min="2" max="2" width="31.42578125" style="173" customWidth="1"/>
    <col min="3" max="3" width="16.42578125" style="150" customWidth="1"/>
    <col min="4" max="4" width="30.5703125" style="150" customWidth="1"/>
    <col min="5" max="5" width="11.7109375" style="150" bestFit="1" customWidth="1"/>
    <col min="6" max="6" width="11.140625" style="150" bestFit="1" customWidth="1"/>
    <col min="7" max="7" width="14.5703125" style="150" bestFit="1" customWidth="1"/>
    <col min="8" max="10" width="14.28515625" style="150" bestFit="1" customWidth="1"/>
    <col min="11" max="11" width="15.7109375" style="150" bestFit="1" customWidth="1"/>
    <col min="12" max="12" width="20.5703125" style="150" customWidth="1"/>
    <col min="13" max="13" width="25.140625" style="150" customWidth="1"/>
    <col min="14" max="16384" width="9" style="150"/>
  </cols>
  <sheetData>
    <row r="1" spans="1:12" ht="43.5" customHeight="1">
      <c r="A1" s="192" t="s">
        <v>222</v>
      </c>
      <c r="B1" s="192"/>
      <c r="C1" s="192"/>
      <c r="D1" s="192"/>
      <c r="E1" s="192"/>
      <c r="F1" s="192"/>
      <c r="G1" s="192"/>
      <c r="H1" s="192"/>
      <c r="I1" s="192"/>
      <c r="J1" s="192"/>
      <c r="K1" s="192"/>
      <c r="L1" s="192"/>
    </row>
    <row r="2" spans="1:12" ht="28.5" customHeight="1">
      <c r="A2" s="193" t="s">
        <v>183</v>
      </c>
      <c r="B2" s="193" t="s">
        <v>184</v>
      </c>
      <c r="C2" s="193" t="s">
        <v>8</v>
      </c>
      <c r="D2" s="193" t="s">
        <v>185</v>
      </c>
      <c r="E2" s="193" t="s">
        <v>6</v>
      </c>
      <c r="F2" s="193" t="s">
        <v>186</v>
      </c>
      <c r="G2" s="193"/>
      <c r="H2" s="193" t="s">
        <v>187</v>
      </c>
      <c r="I2" s="193"/>
      <c r="J2" s="193" t="s">
        <v>188</v>
      </c>
      <c r="K2" s="193"/>
      <c r="L2" s="193" t="s">
        <v>189</v>
      </c>
    </row>
    <row r="3" spans="1:12" ht="33" customHeight="1">
      <c r="A3" s="193"/>
      <c r="B3" s="193"/>
      <c r="C3" s="193"/>
      <c r="D3" s="193"/>
      <c r="E3" s="193"/>
      <c r="F3" s="178" t="s">
        <v>190</v>
      </c>
      <c r="G3" s="178" t="s">
        <v>191</v>
      </c>
      <c r="H3" s="178" t="s">
        <v>190</v>
      </c>
      <c r="I3" s="178" t="s">
        <v>191</v>
      </c>
      <c r="J3" s="178" t="s">
        <v>190</v>
      </c>
      <c r="K3" s="152" t="s">
        <v>191</v>
      </c>
      <c r="L3" s="193"/>
    </row>
    <row r="4" spans="1:12" ht="44.25" customHeight="1">
      <c r="A4" s="178" t="s">
        <v>10</v>
      </c>
      <c r="B4" s="153" t="s">
        <v>198</v>
      </c>
      <c r="C4" s="178"/>
      <c r="D4" s="178"/>
      <c r="E4" s="178"/>
      <c r="F4" s="154"/>
      <c r="G4" s="178"/>
      <c r="H4" s="154"/>
      <c r="I4" s="154"/>
      <c r="J4" s="155"/>
      <c r="K4" s="156">
        <f>SUM(K7:K14)</f>
        <v>48540800</v>
      </c>
      <c r="L4" s="178"/>
    </row>
    <row r="5" spans="1:12" s="160" customFormat="1" ht="54" customHeight="1">
      <c r="A5" s="157">
        <v>1</v>
      </c>
      <c r="B5" s="158" t="s">
        <v>204</v>
      </c>
      <c r="C5" s="157" t="s">
        <v>9</v>
      </c>
      <c r="D5" s="157"/>
      <c r="E5" s="157">
        <f>E6</f>
        <v>37.44</v>
      </c>
      <c r="F5" s="154"/>
      <c r="G5" s="154">
        <f>F5*E5</f>
        <v>0</v>
      </c>
      <c r="H5" s="154">
        <v>40000</v>
      </c>
      <c r="I5" s="154">
        <f>H5*E5</f>
        <v>1497600</v>
      </c>
      <c r="J5" s="154">
        <f t="shared" ref="J5:K14" si="0">H5+F5</f>
        <v>40000</v>
      </c>
      <c r="K5" s="159">
        <f t="shared" si="0"/>
        <v>1497600</v>
      </c>
      <c r="L5" s="178"/>
    </row>
    <row r="6" spans="1:12" s="166" customFormat="1" ht="63.75" customHeight="1">
      <c r="A6" s="161"/>
      <c r="B6" s="162"/>
      <c r="C6" s="161"/>
      <c r="D6" s="161" t="s">
        <v>211</v>
      </c>
      <c r="E6" s="161">
        <f>7.8*4.8</f>
        <v>37.44</v>
      </c>
      <c r="F6" s="163"/>
      <c r="G6" s="163"/>
      <c r="H6" s="161"/>
      <c r="I6" s="161"/>
      <c r="J6" s="163"/>
      <c r="K6" s="164">
        <f t="shared" si="0"/>
        <v>0</v>
      </c>
      <c r="L6" s="165"/>
    </row>
    <row r="7" spans="1:12" s="160" customFormat="1" ht="63.75" customHeight="1">
      <c r="A7" s="157">
        <f>A5+1</f>
        <v>2</v>
      </c>
      <c r="B7" s="158" t="s">
        <v>205</v>
      </c>
      <c r="C7" s="157" t="s">
        <v>196</v>
      </c>
      <c r="D7" s="157" t="s">
        <v>213</v>
      </c>
      <c r="E7" s="157">
        <f>2*(3.7+2+2.5)</f>
        <v>16.399999999999999</v>
      </c>
      <c r="F7" s="154"/>
      <c r="G7" s="154"/>
      <c r="H7" s="154">
        <v>150000</v>
      </c>
      <c r="I7" s="154">
        <f>H7*E7</f>
        <v>2460000</v>
      </c>
      <c r="J7" s="154">
        <f t="shared" ref="J7:K25" si="1">H7+F7</f>
        <v>150000</v>
      </c>
      <c r="K7" s="159">
        <f t="shared" si="0"/>
        <v>2460000</v>
      </c>
      <c r="L7" s="178"/>
    </row>
    <row r="8" spans="1:12" s="160" customFormat="1" ht="63.75" customHeight="1">
      <c r="A8" s="157">
        <f>+A7+1</f>
        <v>3</v>
      </c>
      <c r="B8" s="158" t="s">
        <v>194</v>
      </c>
      <c r="C8" s="157" t="s">
        <v>192</v>
      </c>
      <c r="D8" s="157"/>
      <c r="E8" s="157">
        <f>E9</f>
        <v>65.599999999999994</v>
      </c>
      <c r="F8" s="154"/>
      <c r="G8" s="154">
        <f t="shared" ref="G8" si="2">F8*E8</f>
        <v>0</v>
      </c>
      <c r="H8" s="154">
        <v>150000</v>
      </c>
      <c r="I8" s="154">
        <f>H8*E8</f>
        <v>9840000</v>
      </c>
      <c r="J8" s="154">
        <f t="shared" si="1"/>
        <v>150000</v>
      </c>
      <c r="K8" s="159">
        <f t="shared" si="0"/>
        <v>9840000</v>
      </c>
      <c r="L8" s="178"/>
    </row>
    <row r="9" spans="1:12" s="166" customFormat="1" ht="63.75" customHeight="1">
      <c r="A9" s="161"/>
      <c r="B9" s="162"/>
      <c r="C9" s="161"/>
      <c r="D9" s="161" t="s">
        <v>212</v>
      </c>
      <c r="E9" s="161">
        <f>8*(3.7+2+2.5)</f>
        <v>65.599999999999994</v>
      </c>
      <c r="F9" s="163"/>
      <c r="G9" s="163"/>
      <c r="H9" s="163"/>
      <c r="I9" s="163"/>
      <c r="J9" s="163"/>
      <c r="K9" s="164"/>
      <c r="L9" s="165"/>
    </row>
    <row r="10" spans="1:12" s="160" customFormat="1" ht="48" customHeight="1">
      <c r="A10" s="157">
        <f>+A8+1</f>
        <v>4</v>
      </c>
      <c r="B10" s="158" t="s">
        <v>217</v>
      </c>
      <c r="C10" s="157" t="s">
        <v>9</v>
      </c>
      <c r="D10" s="157" t="s">
        <v>195</v>
      </c>
      <c r="E10" s="157">
        <f>E9</f>
        <v>65.599999999999994</v>
      </c>
      <c r="F10" s="154"/>
      <c r="G10" s="154">
        <f t="shared" ref="G10:G24" si="3">F10*E10</f>
        <v>0</v>
      </c>
      <c r="H10" s="154">
        <v>30000</v>
      </c>
      <c r="I10" s="154">
        <f>H10*E10</f>
        <v>1967999.9999999998</v>
      </c>
      <c r="J10" s="154">
        <f t="shared" si="1"/>
        <v>30000</v>
      </c>
      <c r="K10" s="159">
        <f t="shared" si="0"/>
        <v>1967999.9999999998</v>
      </c>
      <c r="L10" s="178"/>
    </row>
    <row r="11" spans="1:12" s="160" customFormat="1" ht="37.5">
      <c r="A11" s="157">
        <f>+A10+1</f>
        <v>5</v>
      </c>
      <c r="B11" s="158" t="s">
        <v>209</v>
      </c>
      <c r="C11" s="157" t="s">
        <v>9</v>
      </c>
      <c r="D11" s="157" t="s">
        <v>195</v>
      </c>
      <c r="E11" s="157">
        <f>E10</f>
        <v>65.599999999999994</v>
      </c>
      <c r="F11" s="154">
        <v>70000</v>
      </c>
      <c r="G11" s="154">
        <f t="shared" si="3"/>
        <v>4592000</v>
      </c>
      <c r="H11" s="154">
        <v>30000</v>
      </c>
      <c r="I11" s="154">
        <f>H11*E11</f>
        <v>1967999.9999999998</v>
      </c>
      <c r="J11" s="154">
        <f t="shared" si="1"/>
        <v>100000</v>
      </c>
      <c r="K11" s="159">
        <f t="shared" si="0"/>
        <v>6560000</v>
      </c>
      <c r="L11" s="157"/>
    </row>
    <row r="12" spans="1:12" s="160" customFormat="1" ht="75">
      <c r="A12" s="157">
        <f t="shared" ref="A12:A14" si="4">+A11+1</f>
        <v>6</v>
      </c>
      <c r="B12" s="158" t="s">
        <v>220</v>
      </c>
      <c r="C12" s="157" t="s">
        <v>9</v>
      </c>
      <c r="D12" s="157" t="s">
        <v>221</v>
      </c>
      <c r="E12" s="157">
        <f>E10</f>
        <v>65.599999999999994</v>
      </c>
      <c r="F12" s="154">
        <f>300000*0.7</f>
        <v>210000</v>
      </c>
      <c r="G12" s="154">
        <f t="shared" si="3"/>
        <v>13775999.999999998</v>
      </c>
      <c r="H12" s="154">
        <v>110000</v>
      </c>
      <c r="I12" s="154">
        <f>H12*E12</f>
        <v>7215999.9999999991</v>
      </c>
      <c r="J12" s="154">
        <f t="shared" si="1"/>
        <v>320000</v>
      </c>
      <c r="K12" s="159">
        <f t="shared" si="0"/>
        <v>20991999.999999996</v>
      </c>
      <c r="L12" s="178"/>
    </row>
    <row r="13" spans="1:12" s="160" customFormat="1" ht="48" customHeight="1">
      <c r="A13" s="157">
        <f t="shared" si="4"/>
        <v>7</v>
      </c>
      <c r="B13" s="158" t="s">
        <v>207</v>
      </c>
      <c r="C13" s="157" t="s">
        <v>9</v>
      </c>
      <c r="D13" s="157" t="s">
        <v>197</v>
      </c>
      <c r="E13" s="157">
        <f>E7</f>
        <v>16.399999999999999</v>
      </c>
      <c r="F13" s="154">
        <v>150000</v>
      </c>
      <c r="G13" s="154">
        <f t="shared" si="3"/>
        <v>2460000</v>
      </c>
      <c r="H13" s="154">
        <v>100000</v>
      </c>
      <c r="I13" s="154">
        <f t="shared" ref="I13:I25" si="5">H13*E13</f>
        <v>1639999.9999999998</v>
      </c>
      <c r="J13" s="154">
        <f t="shared" si="1"/>
        <v>250000</v>
      </c>
      <c r="K13" s="159">
        <f t="shared" si="0"/>
        <v>4100000</v>
      </c>
      <c r="L13" s="178"/>
    </row>
    <row r="14" spans="1:12" s="160" customFormat="1" ht="48" customHeight="1">
      <c r="A14" s="157">
        <f t="shared" si="4"/>
        <v>8</v>
      </c>
      <c r="B14" s="158" t="s">
        <v>199</v>
      </c>
      <c r="C14" s="157" t="s">
        <v>9</v>
      </c>
      <c r="D14" s="157"/>
      <c r="E14" s="157">
        <f>E6</f>
        <v>37.44</v>
      </c>
      <c r="F14" s="154">
        <v>10000</v>
      </c>
      <c r="G14" s="154">
        <f t="shared" si="3"/>
        <v>374400</v>
      </c>
      <c r="H14" s="154">
        <v>60000</v>
      </c>
      <c r="I14" s="154">
        <f t="shared" si="5"/>
        <v>2246400</v>
      </c>
      <c r="J14" s="154">
        <f t="shared" si="1"/>
        <v>70000</v>
      </c>
      <c r="K14" s="159">
        <f t="shared" si="0"/>
        <v>2620800</v>
      </c>
      <c r="L14" s="157"/>
    </row>
    <row r="15" spans="1:12" s="160" customFormat="1" ht="48" customHeight="1">
      <c r="A15" s="178" t="s">
        <v>12</v>
      </c>
      <c r="B15" s="153" t="s">
        <v>200</v>
      </c>
      <c r="C15" s="178"/>
      <c r="D15" s="178"/>
      <c r="E15" s="178"/>
      <c r="F15" s="155"/>
      <c r="G15" s="155">
        <f t="shared" si="3"/>
        <v>0</v>
      </c>
      <c r="H15" s="155"/>
      <c r="I15" s="155">
        <f t="shared" si="5"/>
        <v>0</v>
      </c>
      <c r="J15" s="155">
        <f t="shared" si="1"/>
        <v>0</v>
      </c>
      <c r="K15" s="156">
        <f>SUM(K16:K16)</f>
        <v>3189600</v>
      </c>
      <c r="L15" s="178"/>
    </row>
    <row r="16" spans="1:12" s="160" customFormat="1" ht="48" customHeight="1">
      <c r="A16" s="178">
        <v>1</v>
      </c>
      <c r="B16" s="158" t="s">
        <v>193</v>
      </c>
      <c r="C16" s="157" t="s">
        <v>9</v>
      </c>
      <c r="D16" s="157"/>
      <c r="E16" s="167">
        <f>SUM(E17:E20)</f>
        <v>106.32000000000001</v>
      </c>
      <c r="F16" s="154">
        <v>20000</v>
      </c>
      <c r="G16" s="154">
        <f t="shared" si="3"/>
        <v>2126400</v>
      </c>
      <c r="H16" s="154">
        <v>10000</v>
      </c>
      <c r="I16" s="154">
        <f t="shared" si="5"/>
        <v>1063200</v>
      </c>
      <c r="J16" s="154">
        <f t="shared" si="1"/>
        <v>30000</v>
      </c>
      <c r="K16" s="159">
        <f t="shared" si="1"/>
        <v>3189600</v>
      </c>
      <c r="L16" s="178"/>
    </row>
    <row r="17" spans="1:12" s="166" customFormat="1" ht="48" customHeight="1">
      <c r="A17" s="194" t="s">
        <v>231</v>
      </c>
      <c r="B17" s="195" t="s">
        <v>226</v>
      </c>
      <c r="C17" s="161" t="s">
        <v>9</v>
      </c>
      <c r="D17" s="161" t="s">
        <v>223</v>
      </c>
      <c r="E17" s="161">
        <f>2*(7.8+4.8)*3.1</f>
        <v>78.12</v>
      </c>
      <c r="F17" s="163"/>
      <c r="G17" s="163"/>
      <c r="H17" s="163"/>
      <c r="I17" s="163"/>
      <c r="J17" s="163"/>
      <c r="K17" s="164"/>
      <c r="L17" s="165"/>
    </row>
    <row r="18" spans="1:12" s="166" customFormat="1" ht="48" customHeight="1">
      <c r="A18" s="194" t="s">
        <v>232</v>
      </c>
      <c r="B18" s="195" t="s">
        <v>230</v>
      </c>
      <c r="C18" s="161"/>
      <c r="D18" s="161" t="s">
        <v>227</v>
      </c>
      <c r="E18" s="161">
        <f>7.8*3.5+1.5*3+8.7*0.8+1.2*2*2</f>
        <v>43.559999999999995</v>
      </c>
      <c r="F18" s="163"/>
      <c r="G18" s="163"/>
      <c r="H18" s="163"/>
      <c r="I18" s="163"/>
      <c r="J18" s="163"/>
      <c r="K18" s="164"/>
      <c r="L18" s="165"/>
    </row>
    <row r="19" spans="1:12" s="166" customFormat="1" ht="48" customHeight="1">
      <c r="A19" s="194" t="s">
        <v>233</v>
      </c>
      <c r="B19" s="195" t="s">
        <v>224</v>
      </c>
      <c r="C19" s="161"/>
      <c r="D19" s="194" t="s">
        <v>228</v>
      </c>
      <c r="E19" s="194">
        <f>-1.2*1.8</f>
        <v>-2.16</v>
      </c>
      <c r="F19" s="163"/>
      <c r="G19" s="163"/>
      <c r="H19" s="163"/>
      <c r="I19" s="163"/>
      <c r="J19" s="163"/>
      <c r="K19" s="164"/>
      <c r="L19" s="165"/>
    </row>
    <row r="20" spans="1:12" s="166" customFormat="1" ht="48" customHeight="1">
      <c r="A20" s="194" t="s">
        <v>234</v>
      </c>
      <c r="B20" s="195" t="s">
        <v>225</v>
      </c>
      <c r="C20" s="161"/>
      <c r="D20" s="194" t="s">
        <v>229</v>
      </c>
      <c r="E20" s="194">
        <f>-2*1.5*2.2*2</f>
        <v>-13.200000000000001</v>
      </c>
      <c r="F20" s="163"/>
      <c r="G20" s="163"/>
      <c r="H20" s="163"/>
      <c r="I20" s="163"/>
      <c r="J20" s="163"/>
      <c r="K20" s="164"/>
      <c r="L20" s="165"/>
    </row>
    <row r="21" spans="1:12" s="160" customFormat="1" ht="48" customHeight="1">
      <c r="A21" s="178" t="s">
        <v>164</v>
      </c>
      <c r="B21" s="153" t="s">
        <v>201</v>
      </c>
      <c r="C21" s="178"/>
      <c r="D21" s="178"/>
      <c r="E21" s="178"/>
      <c r="F21" s="155"/>
      <c r="G21" s="155">
        <f t="shared" si="3"/>
        <v>0</v>
      </c>
      <c r="H21" s="178"/>
      <c r="I21" s="155">
        <f t="shared" si="5"/>
        <v>0</v>
      </c>
      <c r="J21" s="155">
        <f t="shared" si="1"/>
        <v>0</v>
      </c>
      <c r="K21" s="156">
        <f>SUM(K22:K24)</f>
        <v>14827200</v>
      </c>
      <c r="L21" s="178"/>
    </row>
    <row r="22" spans="1:12" s="160" customFormat="1" ht="48" customHeight="1">
      <c r="A22" s="178"/>
      <c r="B22" s="158" t="s">
        <v>202</v>
      </c>
      <c r="C22" s="157" t="s">
        <v>9</v>
      </c>
      <c r="D22" s="157"/>
      <c r="E22" s="157">
        <f>E5</f>
        <v>37.44</v>
      </c>
      <c r="F22" s="154">
        <v>50000</v>
      </c>
      <c r="G22" s="154">
        <f t="shared" si="3"/>
        <v>1872000</v>
      </c>
      <c r="H22" s="154">
        <v>50000</v>
      </c>
      <c r="I22" s="154">
        <f t="shared" si="5"/>
        <v>1872000</v>
      </c>
      <c r="J22" s="154">
        <f t="shared" si="1"/>
        <v>100000</v>
      </c>
      <c r="K22" s="159">
        <f t="shared" si="1"/>
        <v>3744000</v>
      </c>
      <c r="L22" s="178"/>
    </row>
    <row r="23" spans="1:12" s="160" customFormat="1" ht="23.25" customHeight="1">
      <c r="A23" s="178"/>
      <c r="B23" s="158" t="s">
        <v>203</v>
      </c>
      <c r="C23" s="178"/>
      <c r="D23" s="178"/>
      <c r="E23" s="157">
        <f>E6</f>
        <v>37.44</v>
      </c>
      <c r="F23" s="154">
        <v>200000</v>
      </c>
      <c r="G23" s="154">
        <f t="shared" si="3"/>
        <v>7488000</v>
      </c>
      <c r="H23" s="154">
        <v>80000</v>
      </c>
      <c r="I23" s="154">
        <f t="shared" si="5"/>
        <v>2995200</v>
      </c>
      <c r="J23" s="154">
        <f>H23+F23</f>
        <v>280000</v>
      </c>
      <c r="K23" s="159">
        <f t="shared" si="1"/>
        <v>10483200</v>
      </c>
      <c r="L23" s="178"/>
    </row>
    <row r="24" spans="1:12" s="160" customFormat="1" ht="54.75" customHeight="1">
      <c r="A24" s="178"/>
      <c r="B24" s="158" t="s">
        <v>208</v>
      </c>
      <c r="C24" s="157" t="s">
        <v>158</v>
      </c>
      <c r="D24" s="157"/>
      <c r="E24" s="157">
        <v>6</v>
      </c>
      <c r="F24" s="154">
        <v>50000</v>
      </c>
      <c r="G24" s="154">
        <f t="shared" si="3"/>
        <v>300000</v>
      </c>
      <c r="H24" s="154">
        <v>50000</v>
      </c>
      <c r="I24" s="154">
        <f t="shared" si="5"/>
        <v>300000</v>
      </c>
      <c r="J24" s="154">
        <f t="shared" si="1"/>
        <v>100000</v>
      </c>
      <c r="K24" s="159">
        <f t="shared" si="1"/>
        <v>600000</v>
      </c>
      <c r="L24" s="178"/>
    </row>
    <row r="25" spans="1:12" s="160" customFormat="1" ht="37.5">
      <c r="A25" s="178" t="s">
        <v>218</v>
      </c>
      <c r="B25" s="153" t="s">
        <v>210</v>
      </c>
      <c r="C25" s="178" t="s">
        <v>67</v>
      </c>
      <c r="D25" s="178"/>
      <c r="E25" s="178">
        <v>1</v>
      </c>
      <c r="F25" s="155"/>
      <c r="G25" s="155"/>
      <c r="H25" s="155">
        <v>3000000</v>
      </c>
      <c r="I25" s="155">
        <f t="shared" si="5"/>
        <v>3000000</v>
      </c>
      <c r="J25" s="155">
        <f t="shared" si="1"/>
        <v>3000000</v>
      </c>
      <c r="K25" s="156">
        <f t="shared" si="1"/>
        <v>3000000</v>
      </c>
      <c r="L25" s="178"/>
    </row>
    <row r="26" spans="1:12" s="160" customFormat="1" ht="56.25">
      <c r="A26" s="178"/>
      <c r="B26" s="153" t="s">
        <v>235</v>
      </c>
      <c r="C26" s="178"/>
      <c r="D26" s="178"/>
      <c r="E26" s="178"/>
      <c r="F26" s="155"/>
      <c r="G26" s="155"/>
      <c r="H26" s="155"/>
      <c r="I26" s="155"/>
      <c r="J26" s="155"/>
      <c r="K26" s="156">
        <f>SUM(K27:K31)</f>
        <v>14346800</v>
      </c>
      <c r="L26" s="178" t="s">
        <v>244</v>
      </c>
    </row>
    <row r="27" spans="1:12">
      <c r="A27" s="157">
        <v>1</v>
      </c>
      <c r="B27" s="158" t="s">
        <v>236</v>
      </c>
      <c r="C27" s="157"/>
      <c r="D27" s="157" t="s">
        <v>241</v>
      </c>
      <c r="E27" s="157">
        <f>2*(3.5*6.5+6.5*2/2)+8*3</f>
        <v>82.5</v>
      </c>
      <c r="F27" s="154"/>
      <c r="G27" s="154"/>
      <c r="H27" s="154"/>
      <c r="I27" s="154"/>
      <c r="J27" s="154">
        <v>100000</v>
      </c>
      <c r="K27" s="159">
        <f>+E27*J27</f>
        <v>8250000</v>
      </c>
      <c r="L27" s="157"/>
    </row>
    <row r="28" spans="1:12" ht="75">
      <c r="A28" s="157">
        <f>+A27+1</f>
        <v>2</v>
      </c>
      <c r="B28" s="158" t="s">
        <v>237</v>
      </c>
      <c r="C28" s="157"/>
      <c r="D28" s="157"/>
      <c r="E28" s="157">
        <f>+E22</f>
        <v>37.44</v>
      </c>
      <c r="F28" s="154"/>
      <c r="G28" s="154"/>
      <c r="H28" s="154"/>
      <c r="I28" s="154"/>
      <c r="J28" s="154">
        <f>190000-J14</f>
        <v>120000</v>
      </c>
      <c r="K28" s="159">
        <f t="shared" ref="K28:K29" si="6">+E28*J28</f>
        <v>4492800</v>
      </c>
      <c r="L28" s="157" t="s">
        <v>242</v>
      </c>
    </row>
    <row r="29" spans="1:12" ht="37.5">
      <c r="A29" s="157">
        <f t="shared" ref="A29:A31" si="7">+A28+1</f>
        <v>3</v>
      </c>
      <c r="B29" s="158" t="s">
        <v>238</v>
      </c>
      <c r="C29" s="157"/>
      <c r="D29" s="157"/>
      <c r="E29" s="157">
        <v>6</v>
      </c>
      <c r="F29" s="154"/>
      <c r="G29" s="154"/>
      <c r="H29" s="154"/>
      <c r="I29" s="154"/>
      <c r="J29" s="154">
        <v>150000</v>
      </c>
      <c r="K29" s="159">
        <f t="shared" si="6"/>
        <v>900000</v>
      </c>
      <c r="L29" s="157"/>
    </row>
    <row r="30" spans="1:12">
      <c r="A30" s="157">
        <f t="shared" si="7"/>
        <v>4</v>
      </c>
      <c r="B30" s="158" t="s">
        <v>239</v>
      </c>
      <c r="C30" s="157"/>
      <c r="D30" s="157" t="s">
        <v>243</v>
      </c>
      <c r="E30" s="157">
        <f>1.5*1.2</f>
        <v>1.7999999999999998</v>
      </c>
      <c r="F30" s="154">
        <v>200000</v>
      </c>
      <c r="G30" s="154">
        <f t="shared" ref="G30" si="8">F30*E30</f>
        <v>359999.99999999994</v>
      </c>
      <c r="H30" s="154">
        <v>80000</v>
      </c>
      <c r="I30" s="154">
        <f t="shared" ref="I30" si="9">H30*E30</f>
        <v>144000</v>
      </c>
      <c r="J30" s="154">
        <f>H30+F30</f>
        <v>280000</v>
      </c>
      <c r="K30" s="159">
        <f t="shared" ref="K30" si="10">I30+G30</f>
        <v>503999.99999999994</v>
      </c>
      <c r="L30" s="157"/>
    </row>
    <row r="31" spans="1:12" ht="37.5">
      <c r="A31" s="157">
        <f t="shared" si="7"/>
        <v>5</v>
      </c>
      <c r="B31" s="158" t="s">
        <v>240</v>
      </c>
      <c r="C31" s="157"/>
      <c r="D31" s="157"/>
      <c r="E31" s="157"/>
      <c r="F31" s="154"/>
      <c r="G31" s="154"/>
      <c r="H31" s="154"/>
      <c r="I31" s="154"/>
      <c r="J31" s="154"/>
      <c r="K31" s="159">
        <v>200000</v>
      </c>
      <c r="L31" s="157"/>
    </row>
    <row r="32" spans="1:12">
      <c r="A32" s="168"/>
      <c r="B32" s="169" t="s">
        <v>219</v>
      </c>
      <c r="C32" s="168"/>
      <c r="D32" s="168"/>
      <c r="E32" s="170"/>
      <c r="F32" s="171"/>
      <c r="G32" s="172"/>
      <c r="H32" s="171"/>
      <c r="I32" s="172"/>
      <c r="J32" s="171"/>
      <c r="K32" s="172">
        <f>K4+K15+K21+K25+K26</f>
        <v>83904400</v>
      </c>
      <c r="L32" s="168"/>
    </row>
    <row r="33" spans="1:12" ht="37.5">
      <c r="A33" s="168"/>
      <c r="B33" s="178" t="s">
        <v>244</v>
      </c>
      <c r="C33" s="168"/>
      <c r="D33" s="168"/>
      <c r="E33" s="170"/>
      <c r="F33" s="171"/>
      <c r="G33" s="172"/>
      <c r="H33" s="171"/>
      <c r="I33" s="172"/>
      <c r="J33" s="171"/>
      <c r="K33" s="172">
        <f>+K26</f>
        <v>14346800</v>
      </c>
      <c r="L33" s="168"/>
    </row>
    <row r="34" spans="1:12">
      <c r="A34" s="168"/>
      <c r="B34" s="169" t="s">
        <v>245</v>
      </c>
      <c r="C34" s="168"/>
      <c r="D34" s="168"/>
      <c r="E34" s="170"/>
      <c r="F34" s="171"/>
      <c r="G34" s="172"/>
      <c r="H34" s="171"/>
      <c r="I34" s="172"/>
      <c r="J34" s="171"/>
      <c r="K34" s="172">
        <f>+K32-K33</f>
        <v>69557600</v>
      </c>
      <c r="L34" s="168"/>
    </row>
  </sheetData>
  <mergeCells count="10">
    <mergeCell ref="A1:L1"/>
    <mergeCell ref="A2:A3"/>
    <mergeCell ref="B2:B3"/>
    <mergeCell ref="C2:C3"/>
    <mergeCell ref="D2:D3"/>
    <mergeCell ref="E2:E3"/>
    <mergeCell ref="F2:G2"/>
    <mergeCell ref="H2:I2"/>
    <mergeCell ref="J2:K2"/>
    <mergeCell ref="L2:L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Diễn giải kl</vt:lpstr>
      <vt:lpstr>Thép Kết cấu</vt:lpstr>
      <vt:lpstr>Thép xd</vt:lpstr>
      <vt:lpstr>Sheet1</vt:lpstr>
      <vt:lpstr>Sheet2</vt:lpstr>
      <vt:lpstr>PA. Lát sàn</vt:lpstr>
      <vt:lpstr>PA. Láng nền</vt:lpstr>
      <vt:lpstr>Quyết toán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2019-10-02T15:47:35Z</dcterms:modified>
</cp:coreProperties>
</file>